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Z:\My Documents\RIZNICA\Proračun 2022-2024\Proračun IX\"/>
    </mc:Choice>
  </mc:AlternateContent>
  <xr:revisionPtr revIDLastSave="0" documentId="13_ncr:1_{0D1208F8-4F55-45CB-B73A-231C0FF0EF0C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bez CROLIS" sheetId="2" r:id="rId1"/>
    <sheet name="Sheet1" sheetId="3" r:id="rId2"/>
  </sheets>
  <definedNames>
    <definedName name="_xlnm.Print_Titles" localSheetId="0">'bez CROLIS'!$3:$4</definedName>
    <definedName name="_xlnm.Print_Titles" localSheetId="1">Sheet1!$3:$4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R73" i="3" l="1"/>
  <c r="R72" i="3"/>
  <c r="Q72" i="3"/>
  <c r="O7" i="3" l="1"/>
  <c r="O93" i="3"/>
  <c r="O96" i="3"/>
  <c r="O92" i="3" l="1"/>
  <c r="O91" i="3" s="1"/>
  <c r="O86" i="3" s="1"/>
  <c r="O14" i="3"/>
  <c r="O164" i="3"/>
  <c r="N164" i="3"/>
  <c r="M164" i="3"/>
  <c r="O163" i="3"/>
  <c r="N163" i="3"/>
  <c r="N162" i="3" s="1"/>
  <c r="N161" i="3" s="1"/>
  <c r="M163" i="3"/>
  <c r="O162" i="3"/>
  <c r="M162" i="3"/>
  <c r="O161" i="3"/>
  <c r="M161" i="3"/>
  <c r="O157" i="3"/>
  <c r="N157" i="3"/>
  <c r="M157" i="3"/>
  <c r="O156" i="3"/>
  <c r="N156" i="3"/>
  <c r="M156" i="3"/>
  <c r="O10" i="3" l="1"/>
  <c r="M10" i="3"/>
  <c r="R113" i="3" l="1"/>
  <c r="R112" i="3"/>
  <c r="M149" i="3" l="1"/>
  <c r="R196" i="3" l="1"/>
  <c r="R41" i="3"/>
  <c r="R202" i="3"/>
  <c r="R180" i="3"/>
  <c r="R200" i="3"/>
  <c r="R203" i="3" s="1"/>
  <c r="Q50" i="3"/>
  <c r="Q49" i="3"/>
  <c r="O109" i="3" l="1"/>
  <c r="J109" i="3"/>
  <c r="T135" i="3" l="1"/>
  <c r="R135" i="3"/>
  <c r="R137" i="3" s="1"/>
  <c r="N86" i="3"/>
  <c r="N87" i="3"/>
  <c r="N88" i="3"/>
  <c r="M88" i="3"/>
  <c r="M87" i="3" s="1"/>
  <c r="J87" i="3"/>
  <c r="J88" i="3"/>
  <c r="O89" i="3"/>
  <c r="O88" i="3" s="1"/>
  <c r="O87" i="3" s="1"/>
  <c r="M89" i="3"/>
  <c r="J89" i="3"/>
  <c r="G86" i="3"/>
  <c r="F86" i="3"/>
  <c r="F87" i="3"/>
  <c r="F88" i="3"/>
  <c r="F89" i="3"/>
  <c r="N89" i="3"/>
  <c r="L89" i="3"/>
  <c r="K89" i="3"/>
  <c r="I89" i="3"/>
  <c r="H89" i="3"/>
  <c r="G89" i="3"/>
  <c r="E89" i="3"/>
  <c r="D89" i="3"/>
  <c r="C89" i="3"/>
  <c r="L88" i="3"/>
  <c r="K88" i="3"/>
  <c r="K87" i="3" s="1"/>
  <c r="I88" i="3"/>
  <c r="H88" i="3"/>
  <c r="H87" i="3" s="1"/>
  <c r="G88" i="3"/>
  <c r="G87" i="3" s="1"/>
  <c r="L87" i="3"/>
  <c r="I87" i="3"/>
  <c r="E87" i="3"/>
  <c r="D87" i="3"/>
  <c r="C87" i="3"/>
  <c r="Q257" i="3" l="1"/>
  <c r="R179" i="3"/>
  <c r="N187" i="3" l="1"/>
  <c r="J178" i="3"/>
  <c r="O216" i="3"/>
  <c r="O149" i="3"/>
  <c r="N29" i="3"/>
  <c r="N20" i="3"/>
  <c r="J26" i="3"/>
  <c r="N68" i="3"/>
  <c r="M68" i="3"/>
  <c r="O30" i="3"/>
  <c r="M30" i="3"/>
  <c r="J30" i="3"/>
  <c r="N10" i="3" l="1"/>
  <c r="N19" i="3"/>
  <c r="N7" i="3" s="1"/>
  <c r="G26" i="3"/>
  <c r="G52" i="3"/>
  <c r="G41" i="3"/>
  <c r="G35" i="3"/>
  <c r="G30" i="3"/>
  <c r="G68" i="3"/>
  <c r="F68" i="3"/>
  <c r="F19" i="3" s="1"/>
  <c r="F52" i="3"/>
  <c r="F41" i="3"/>
  <c r="F35" i="3"/>
  <c r="F30" i="3"/>
  <c r="F20" i="3"/>
  <c r="F21" i="3"/>
  <c r="F288" i="3"/>
  <c r="F279" i="3"/>
  <c r="F278" i="3"/>
  <c r="G279" i="3"/>
  <c r="F256" i="3"/>
  <c r="F255" i="3" s="1"/>
  <c r="F270" i="3"/>
  <c r="O73" i="3" l="1"/>
  <c r="N73" i="3"/>
  <c r="M73" i="3"/>
  <c r="J73" i="3"/>
  <c r="O69" i="3"/>
  <c r="O68" i="3" s="1"/>
  <c r="N69" i="3"/>
  <c r="M69" i="3"/>
  <c r="J69" i="3"/>
  <c r="J68" i="3" s="1"/>
  <c r="L69" i="3"/>
  <c r="K69" i="3"/>
  <c r="I69" i="3"/>
  <c r="H69" i="3"/>
  <c r="G69" i="3"/>
  <c r="F69" i="3"/>
  <c r="E69" i="3"/>
  <c r="D69" i="3"/>
  <c r="C69" i="3"/>
  <c r="O136" i="3" l="1"/>
  <c r="G135" i="3"/>
  <c r="O142" i="3"/>
  <c r="M142" i="3"/>
  <c r="J142" i="3"/>
  <c r="O137" i="3"/>
  <c r="M137" i="3"/>
  <c r="M136" i="3" s="1"/>
  <c r="J137" i="3"/>
  <c r="J136" i="3" s="1"/>
  <c r="J135" i="3" s="1"/>
  <c r="F117" i="3"/>
  <c r="G105" i="3"/>
  <c r="O125" i="3"/>
  <c r="M130" i="3"/>
  <c r="O131" i="3"/>
  <c r="O130" i="3" s="1"/>
  <c r="M131" i="3"/>
  <c r="J131" i="3"/>
  <c r="J130" i="3" s="1"/>
  <c r="O126" i="3"/>
  <c r="M126" i="3"/>
  <c r="M125" i="3" s="1"/>
  <c r="J126" i="3"/>
  <c r="J125" i="3" s="1"/>
  <c r="O124" i="3" l="1"/>
  <c r="G130" i="3"/>
  <c r="F130" i="3"/>
  <c r="F124" i="3" s="1"/>
  <c r="N136" i="3"/>
  <c r="L136" i="3"/>
  <c r="K136" i="3"/>
  <c r="I136" i="3"/>
  <c r="H136" i="3"/>
  <c r="G136" i="3"/>
  <c r="F136" i="3"/>
  <c r="N125" i="3"/>
  <c r="M124" i="3"/>
  <c r="L125" i="3"/>
  <c r="K125" i="3"/>
  <c r="I125" i="3"/>
  <c r="H125" i="3"/>
  <c r="G125" i="3"/>
  <c r="F125" i="3"/>
  <c r="N13" i="3"/>
  <c r="J96" i="3"/>
  <c r="M99" i="3"/>
  <c r="E86" i="3"/>
  <c r="D86" i="3"/>
  <c r="C86" i="3"/>
  <c r="J124" i="3" l="1"/>
  <c r="L68" i="3" l="1"/>
  <c r="K68" i="3"/>
  <c r="I68" i="3"/>
  <c r="H68" i="3"/>
  <c r="O12" i="2" l="1"/>
  <c r="N12" i="2"/>
  <c r="M12" i="2"/>
  <c r="J12" i="2"/>
  <c r="O299" i="3"/>
  <c r="O298" i="3" s="1"/>
  <c r="N299" i="3"/>
  <c r="N298" i="3" s="1"/>
  <c r="M299" i="3"/>
  <c r="M298" i="3" s="1"/>
  <c r="L299" i="3"/>
  <c r="L298" i="3" s="1"/>
  <c r="K299" i="3"/>
  <c r="K298" i="3" s="1"/>
  <c r="J299" i="3"/>
  <c r="J298" i="3" s="1"/>
  <c r="I299" i="3"/>
  <c r="I298" i="3" s="1"/>
  <c r="H299" i="3"/>
  <c r="H298" i="3" s="1"/>
  <c r="G299" i="3"/>
  <c r="G298" i="3" s="1"/>
  <c r="F299" i="3"/>
  <c r="F298" i="3" s="1"/>
  <c r="E299" i="3"/>
  <c r="D299" i="3"/>
  <c r="C299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O289" i="3"/>
  <c r="N289" i="3"/>
  <c r="M289" i="3"/>
  <c r="L289" i="3"/>
  <c r="K289" i="3"/>
  <c r="J289" i="3"/>
  <c r="I289" i="3"/>
  <c r="H289" i="3"/>
  <c r="H288" i="3" s="1"/>
  <c r="G289" i="3"/>
  <c r="F289" i="3"/>
  <c r="E289" i="3"/>
  <c r="D289" i="3"/>
  <c r="C289" i="3"/>
  <c r="N285" i="3"/>
  <c r="L285" i="3"/>
  <c r="K285" i="3"/>
  <c r="I285" i="3"/>
  <c r="H285" i="3"/>
  <c r="G285" i="3"/>
  <c r="F285" i="3"/>
  <c r="E285" i="3"/>
  <c r="D285" i="3"/>
  <c r="C285" i="3"/>
  <c r="C284" i="3"/>
  <c r="C283" i="3" s="1"/>
  <c r="O283" i="3"/>
  <c r="N283" i="3"/>
  <c r="M283" i="3"/>
  <c r="L283" i="3"/>
  <c r="K283" i="3"/>
  <c r="J283" i="3"/>
  <c r="I283" i="3"/>
  <c r="H283" i="3"/>
  <c r="G283" i="3"/>
  <c r="F283" i="3"/>
  <c r="E283" i="3"/>
  <c r="D283" i="3"/>
  <c r="O280" i="3"/>
  <c r="N280" i="3"/>
  <c r="M280" i="3"/>
  <c r="M286" i="3" s="1"/>
  <c r="M285" i="3" s="1"/>
  <c r="M279" i="3" s="1"/>
  <c r="L280" i="3"/>
  <c r="K280" i="3"/>
  <c r="J280" i="3"/>
  <c r="J286" i="3" s="1"/>
  <c r="J285" i="3" s="1"/>
  <c r="I280" i="3"/>
  <c r="H280" i="3"/>
  <c r="G280" i="3"/>
  <c r="F280" i="3"/>
  <c r="E280" i="3"/>
  <c r="D280" i="3"/>
  <c r="C280" i="3"/>
  <c r="O276" i="3"/>
  <c r="O275" i="3" s="1"/>
  <c r="N276" i="3"/>
  <c r="N275" i="3" s="1"/>
  <c r="M276" i="3"/>
  <c r="M275" i="3" s="1"/>
  <c r="L276" i="3"/>
  <c r="L275" i="3" s="1"/>
  <c r="K276" i="3"/>
  <c r="K275" i="3" s="1"/>
  <c r="J276" i="3"/>
  <c r="J275" i="3" s="1"/>
  <c r="I276" i="3"/>
  <c r="I275" i="3" s="1"/>
  <c r="H276" i="3"/>
  <c r="H275" i="3" s="1"/>
  <c r="G276" i="3"/>
  <c r="G275" i="3" s="1"/>
  <c r="F276" i="3"/>
  <c r="F275" i="3" s="1"/>
  <c r="E276" i="3"/>
  <c r="D276" i="3"/>
  <c r="C276" i="3"/>
  <c r="O270" i="3"/>
  <c r="N270" i="3"/>
  <c r="M270" i="3"/>
  <c r="L270" i="3"/>
  <c r="K270" i="3"/>
  <c r="J270" i="3"/>
  <c r="I270" i="3"/>
  <c r="H270" i="3"/>
  <c r="G270" i="3"/>
  <c r="E270" i="3"/>
  <c r="D270" i="3"/>
  <c r="C270" i="3"/>
  <c r="O266" i="3"/>
  <c r="N266" i="3"/>
  <c r="N265" i="3" s="1"/>
  <c r="M266" i="3"/>
  <c r="L266" i="3"/>
  <c r="K266" i="3"/>
  <c r="J266" i="3"/>
  <c r="I266" i="3"/>
  <c r="H266" i="3"/>
  <c r="G266" i="3"/>
  <c r="F266" i="3"/>
  <c r="E266" i="3"/>
  <c r="D266" i="3"/>
  <c r="C266" i="3"/>
  <c r="O265" i="3"/>
  <c r="O262" i="3"/>
  <c r="N262" i="3"/>
  <c r="L262" i="3"/>
  <c r="K262" i="3"/>
  <c r="J262" i="3"/>
  <c r="I262" i="3"/>
  <c r="H262" i="3"/>
  <c r="G262" i="3"/>
  <c r="F262" i="3"/>
  <c r="E262" i="3"/>
  <c r="D262" i="3"/>
  <c r="C262" i="3"/>
  <c r="C261" i="3"/>
  <c r="C260" i="3" s="1"/>
  <c r="O260" i="3"/>
  <c r="N260" i="3"/>
  <c r="M260" i="3"/>
  <c r="L260" i="3"/>
  <c r="K260" i="3"/>
  <c r="J260" i="3"/>
  <c r="I260" i="3"/>
  <c r="H260" i="3"/>
  <c r="G260" i="3"/>
  <c r="F260" i="3"/>
  <c r="E260" i="3"/>
  <c r="D260" i="3"/>
  <c r="O257" i="3"/>
  <c r="N257" i="3"/>
  <c r="M257" i="3"/>
  <c r="M263" i="3" s="1"/>
  <c r="M262" i="3" s="1"/>
  <c r="L257" i="3"/>
  <c r="K257" i="3"/>
  <c r="J257" i="3"/>
  <c r="I257" i="3"/>
  <c r="H257" i="3"/>
  <c r="G257" i="3"/>
  <c r="G256" i="3" s="1"/>
  <c r="F257" i="3"/>
  <c r="E257" i="3"/>
  <c r="D257" i="3"/>
  <c r="C257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N247" i="3"/>
  <c r="N246" i="3" s="1"/>
  <c r="N245" i="3" s="1"/>
  <c r="I247" i="3"/>
  <c r="I246" i="3" s="1"/>
  <c r="O246" i="3"/>
  <c r="M246" i="3"/>
  <c r="L246" i="3"/>
  <c r="K246" i="3"/>
  <c r="J246" i="3"/>
  <c r="H246" i="3"/>
  <c r="G246" i="3"/>
  <c r="F246" i="3"/>
  <c r="E246" i="3"/>
  <c r="D246" i="3"/>
  <c r="C246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N235" i="3"/>
  <c r="N233" i="3" s="1"/>
  <c r="L235" i="3"/>
  <c r="L233" i="3" s="1"/>
  <c r="I235" i="3"/>
  <c r="I233" i="3" s="1"/>
  <c r="O233" i="3"/>
  <c r="O225" i="3" s="1"/>
  <c r="M233" i="3"/>
  <c r="K233" i="3"/>
  <c r="J233" i="3"/>
  <c r="H233" i="3"/>
  <c r="G233" i="3"/>
  <c r="F233" i="3"/>
  <c r="E233" i="3"/>
  <c r="D233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K222" i="3"/>
  <c r="H222" i="3"/>
  <c r="G222" i="3"/>
  <c r="F222" i="3"/>
  <c r="E222" i="3"/>
  <c r="D222" i="3"/>
  <c r="C222" i="3"/>
  <c r="C221" i="3"/>
  <c r="C220" i="3" s="1"/>
  <c r="O220" i="3"/>
  <c r="N220" i="3"/>
  <c r="M220" i="3"/>
  <c r="L220" i="3"/>
  <c r="K220" i="3"/>
  <c r="J220" i="3"/>
  <c r="I220" i="3"/>
  <c r="H220" i="3"/>
  <c r="G220" i="3"/>
  <c r="F220" i="3"/>
  <c r="E220" i="3"/>
  <c r="D220" i="3"/>
  <c r="O217" i="3"/>
  <c r="O223" i="3" s="1"/>
  <c r="O222" i="3" s="1"/>
  <c r="N217" i="3"/>
  <c r="M217" i="3"/>
  <c r="M223" i="3" s="1"/>
  <c r="M222" i="3" s="1"/>
  <c r="L217" i="3"/>
  <c r="L223" i="3" s="1"/>
  <c r="L222" i="3" s="1"/>
  <c r="K217" i="3"/>
  <c r="J217" i="3"/>
  <c r="J223" i="3" s="1"/>
  <c r="J222" i="3" s="1"/>
  <c r="J216" i="3" s="1"/>
  <c r="I217" i="3"/>
  <c r="I223" i="3" s="1"/>
  <c r="I222" i="3" s="1"/>
  <c r="H217" i="3"/>
  <c r="G217" i="3"/>
  <c r="F217" i="3"/>
  <c r="E217" i="3"/>
  <c r="D217" i="3"/>
  <c r="C217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N209" i="3"/>
  <c r="N208" i="3" s="1"/>
  <c r="N207" i="3" s="1"/>
  <c r="I209" i="3"/>
  <c r="I208" i="3" s="1"/>
  <c r="O208" i="3"/>
  <c r="M208" i="3"/>
  <c r="M207" i="3" s="1"/>
  <c r="L208" i="3"/>
  <c r="K208" i="3"/>
  <c r="J208" i="3"/>
  <c r="H208" i="3"/>
  <c r="G208" i="3"/>
  <c r="F208" i="3"/>
  <c r="E208" i="3"/>
  <c r="D208" i="3"/>
  <c r="C208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N202" i="3"/>
  <c r="L202" i="3"/>
  <c r="J195" i="3"/>
  <c r="J187" i="3" s="1"/>
  <c r="J177" i="3" s="1"/>
  <c r="M195" i="3"/>
  <c r="M187" i="3" s="1"/>
  <c r="N197" i="3"/>
  <c r="L197" i="3"/>
  <c r="L195" i="3" s="1"/>
  <c r="I197" i="3"/>
  <c r="I195" i="3" s="1"/>
  <c r="O195" i="3"/>
  <c r="O187" i="3" s="1"/>
  <c r="O177" i="3" s="1"/>
  <c r="K195" i="3"/>
  <c r="H195" i="3"/>
  <c r="G195" i="3"/>
  <c r="F195" i="3"/>
  <c r="E195" i="3"/>
  <c r="D195" i="3"/>
  <c r="C195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E185" i="3"/>
  <c r="E184" i="3" s="1"/>
  <c r="K184" i="3"/>
  <c r="H184" i="3"/>
  <c r="G184" i="3"/>
  <c r="F184" i="3"/>
  <c r="D184" i="3"/>
  <c r="C184" i="3"/>
  <c r="C183" i="3"/>
  <c r="C182" i="3" s="1"/>
  <c r="O182" i="3"/>
  <c r="N182" i="3"/>
  <c r="M182" i="3"/>
  <c r="L182" i="3"/>
  <c r="K182" i="3"/>
  <c r="J182" i="3"/>
  <c r="I182" i="3"/>
  <c r="H182" i="3"/>
  <c r="G182" i="3"/>
  <c r="F182" i="3"/>
  <c r="E182" i="3"/>
  <c r="D182" i="3"/>
  <c r="O179" i="3"/>
  <c r="O184" i="3" s="1"/>
  <c r="N179" i="3"/>
  <c r="N185" i="3" s="1"/>
  <c r="N184" i="3" s="1"/>
  <c r="M179" i="3"/>
  <c r="M184" i="3" s="1"/>
  <c r="L179" i="3"/>
  <c r="L185" i="3" s="1"/>
  <c r="L184" i="3" s="1"/>
  <c r="K179" i="3"/>
  <c r="J179" i="3"/>
  <c r="J184" i="3" s="1"/>
  <c r="I179" i="3"/>
  <c r="I185" i="3" s="1"/>
  <c r="I184" i="3" s="1"/>
  <c r="H179" i="3"/>
  <c r="G179" i="3"/>
  <c r="F179" i="3"/>
  <c r="E179" i="3"/>
  <c r="D179" i="3"/>
  <c r="C179" i="3"/>
  <c r="C135" i="3" s="1"/>
  <c r="K177" i="3"/>
  <c r="O101" i="3"/>
  <c r="N101" i="3"/>
  <c r="N98" i="3" s="1"/>
  <c r="M101" i="3"/>
  <c r="M98" i="3" s="1"/>
  <c r="L101" i="3"/>
  <c r="L99" i="3" s="1"/>
  <c r="K101" i="3"/>
  <c r="K99" i="3" s="1"/>
  <c r="J101" i="3"/>
  <c r="I101" i="3"/>
  <c r="I99" i="3" s="1"/>
  <c r="G101" i="3"/>
  <c r="F101" i="3"/>
  <c r="E101" i="3"/>
  <c r="E99" i="3" s="1"/>
  <c r="D101" i="3"/>
  <c r="D99" i="3" s="1"/>
  <c r="C101" i="3"/>
  <c r="C99" i="3" s="1"/>
  <c r="O99" i="3"/>
  <c r="J99" i="3"/>
  <c r="G99" i="3"/>
  <c r="G98" i="3" s="1"/>
  <c r="F99" i="3"/>
  <c r="F98" i="3" s="1"/>
  <c r="N96" i="3"/>
  <c r="L96" i="3"/>
  <c r="I97" i="3"/>
  <c r="I96" i="3" s="1"/>
  <c r="M96" i="3"/>
  <c r="K96" i="3"/>
  <c r="H96" i="3"/>
  <c r="G96" i="3"/>
  <c r="F96" i="3"/>
  <c r="E96" i="3"/>
  <c r="D96" i="3"/>
  <c r="C96" i="3"/>
  <c r="N93" i="3"/>
  <c r="M93" i="3"/>
  <c r="L93" i="3"/>
  <c r="K93" i="3"/>
  <c r="J93" i="3"/>
  <c r="I93" i="3"/>
  <c r="H93" i="3"/>
  <c r="G93" i="3"/>
  <c r="G92" i="3" s="1"/>
  <c r="F93" i="3"/>
  <c r="E93" i="3"/>
  <c r="D93" i="3"/>
  <c r="C93" i="3"/>
  <c r="I174" i="3"/>
  <c r="I173" i="3" s="1"/>
  <c r="I172" i="3" s="1"/>
  <c r="O173" i="3"/>
  <c r="O172" i="3" s="1"/>
  <c r="N173" i="3"/>
  <c r="N172" i="3" s="1"/>
  <c r="M173" i="3"/>
  <c r="M172" i="3" s="1"/>
  <c r="L173" i="3"/>
  <c r="L172" i="3" s="1"/>
  <c r="K173" i="3"/>
  <c r="K172" i="3" s="1"/>
  <c r="K163" i="3" s="1"/>
  <c r="K162" i="3" s="1"/>
  <c r="K161" i="3" s="1"/>
  <c r="J173" i="3"/>
  <c r="J172" i="3" s="1"/>
  <c r="H173" i="3"/>
  <c r="H172" i="3" s="1"/>
  <c r="G173" i="3"/>
  <c r="G172" i="3" s="1"/>
  <c r="F173" i="3"/>
  <c r="F172" i="3" s="1"/>
  <c r="E173" i="3"/>
  <c r="E135" i="3" s="1"/>
  <c r="D173" i="3"/>
  <c r="D135" i="3" s="1"/>
  <c r="C173" i="3"/>
  <c r="O167" i="3"/>
  <c r="N167" i="3"/>
  <c r="M167" i="3"/>
  <c r="L167" i="3"/>
  <c r="L164" i="3" s="1"/>
  <c r="J167" i="3"/>
  <c r="I167" i="3"/>
  <c r="I164" i="3" s="1"/>
  <c r="H167" i="3"/>
  <c r="G167" i="3"/>
  <c r="F167" i="3"/>
  <c r="E167" i="3"/>
  <c r="D167" i="3"/>
  <c r="C167" i="3"/>
  <c r="C163" i="3" s="1"/>
  <c r="C162" i="3" s="1"/>
  <c r="C161" i="3" s="1"/>
  <c r="O165" i="3"/>
  <c r="N165" i="3"/>
  <c r="M165" i="3"/>
  <c r="L165" i="3"/>
  <c r="K165" i="3"/>
  <c r="J165" i="3"/>
  <c r="I165" i="3"/>
  <c r="H165" i="3"/>
  <c r="G165" i="3"/>
  <c r="F165" i="3"/>
  <c r="K164" i="3"/>
  <c r="H164" i="3"/>
  <c r="G164" i="3"/>
  <c r="O141" i="3"/>
  <c r="O135" i="3" s="1"/>
  <c r="O9" i="3" s="1"/>
  <c r="N141" i="3"/>
  <c r="M141" i="3"/>
  <c r="M135" i="3" s="1"/>
  <c r="M9" i="3" s="1"/>
  <c r="L157" i="3"/>
  <c r="L141" i="3" s="1"/>
  <c r="K157" i="3"/>
  <c r="K141" i="3" s="1"/>
  <c r="J157" i="3"/>
  <c r="I157" i="3"/>
  <c r="I141" i="3" s="1"/>
  <c r="H157" i="3"/>
  <c r="G157" i="3"/>
  <c r="F157" i="3"/>
  <c r="L156" i="3"/>
  <c r="K156" i="3"/>
  <c r="I156" i="3"/>
  <c r="E156" i="3"/>
  <c r="D156" i="3"/>
  <c r="C156" i="3"/>
  <c r="O153" i="3"/>
  <c r="N153" i="3"/>
  <c r="M153" i="3"/>
  <c r="L153" i="3"/>
  <c r="K153" i="3"/>
  <c r="J153" i="3"/>
  <c r="I153" i="3"/>
  <c r="H153" i="3"/>
  <c r="G153" i="3"/>
  <c r="F153" i="3"/>
  <c r="N149" i="3"/>
  <c r="N147" i="3" s="1"/>
  <c r="N146" i="3" s="1"/>
  <c r="L149" i="3"/>
  <c r="L147" i="3" s="1"/>
  <c r="K149" i="3"/>
  <c r="J149" i="3"/>
  <c r="I149" i="3"/>
  <c r="I148" i="3" s="1"/>
  <c r="I135" i="3" s="1"/>
  <c r="H149" i="3"/>
  <c r="H124" i="3" s="1"/>
  <c r="G149" i="3"/>
  <c r="G124" i="3" s="1"/>
  <c r="F149" i="3"/>
  <c r="E149" i="3"/>
  <c r="E146" i="3" s="1"/>
  <c r="D149" i="3"/>
  <c r="D147" i="3" s="1"/>
  <c r="C149" i="3"/>
  <c r="C147" i="3" s="1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O117" i="3"/>
  <c r="O116" i="3" s="1"/>
  <c r="N117" i="3"/>
  <c r="M117" i="3"/>
  <c r="L117" i="3"/>
  <c r="K117" i="3"/>
  <c r="J117" i="3"/>
  <c r="I117" i="3"/>
  <c r="H117" i="3"/>
  <c r="G117" i="3"/>
  <c r="E117" i="3"/>
  <c r="D117" i="3"/>
  <c r="C117" i="3"/>
  <c r="O114" i="3"/>
  <c r="N114" i="3"/>
  <c r="N113" i="3" s="1"/>
  <c r="M114" i="3"/>
  <c r="M113" i="3" s="1"/>
  <c r="L114" i="3"/>
  <c r="L113" i="3" s="1"/>
  <c r="K114" i="3"/>
  <c r="K113" i="3" s="1"/>
  <c r="J114" i="3"/>
  <c r="J113" i="3" s="1"/>
  <c r="I114" i="3"/>
  <c r="I113" i="3" s="1"/>
  <c r="H114" i="3"/>
  <c r="H113" i="3" s="1"/>
  <c r="G114" i="3"/>
  <c r="G113" i="3" s="1"/>
  <c r="F114" i="3"/>
  <c r="F113" i="3" s="1"/>
  <c r="D114" i="3"/>
  <c r="C114" i="3"/>
  <c r="O113" i="3"/>
  <c r="M108" i="3"/>
  <c r="I112" i="3"/>
  <c r="I110" i="3"/>
  <c r="I109" i="3"/>
  <c r="O108" i="3"/>
  <c r="K108" i="3"/>
  <c r="J108" i="3"/>
  <c r="J105" i="3" s="1"/>
  <c r="H108" i="3"/>
  <c r="G108" i="3"/>
  <c r="F108" i="3"/>
  <c r="E108" i="3"/>
  <c r="D108" i="3"/>
  <c r="C108" i="3"/>
  <c r="O106" i="3"/>
  <c r="N106" i="3"/>
  <c r="M106" i="3"/>
  <c r="L106" i="3"/>
  <c r="K106" i="3"/>
  <c r="K105" i="3" s="1"/>
  <c r="J106" i="3"/>
  <c r="I106" i="3"/>
  <c r="H106" i="3"/>
  <c r="G106" i="3"/>
  <c r="F106" i="3"/>
  <c r="E106" i="3"/>
  <c r="D106" i="3"/>
  <c r="C106" i="3"/>
  <c r="O84" i="3"/>
  <c r="O83" i="3" s="1"/>
  <c r="O12" i="3" s="1"/>
  <c r="N84" i="3"/>
  <c r="M84" i="3"/>
  <c r="M83" i="3" s="1"/>
  <c r="M12" i="3" s="1"/>
  <c r="L84" i="3"/>
  <c r="L83" i="3" s="1"/>
  <c r="K84" i="3"/>
  <c r="K83" i="3" s="1"/>
  <c r="J84" i="3"/>
  <c r="J83" i="3" s="1"/>
  <c r="J12" i="3" s="1"/>
  <c r="I84" i="3"/>
  <c r="I83" i="3" s="1"/>
  <c r="H84" i="3"/>
  <c r="H83" i="3" s="1"/>
  <c r="G84" i="3"/>
  <c r="G83" i="3" s="1"/>
  <c r="F84" i="3"/>
  <c r="F83" i="3" s="1"/>
  <c r="E84" i="3"/>
  <c r="E83" i="3" s="1"/>
  <c r="D84" i="3"/>
  <c r="D83" i="3" s="1"/>
  <c r="C84" i="3"/>
  <c r="C83" i="3" s="1"/>
  <c r="C12" i="3" s="1"/>
  <c r="N83" i="3"/>
  <c r="N12" i="3" s="1"/>
  <c r="O81" i="3"/>
  <c r="M81" i="3"/>
  <c r="J81" i="3"/>
  <c r="O79" i="3"/>
  <c r="N79" i="3"/>
  <c r="N78" i="3" s="1"/>
  <c r="N11" i="3" s="1"/>
  <c r="M79" i="3"/>
  <c r="L79" i="3"/>
  <c r="L78" i="3" s="1"/>
  <c r="L11" i="3" s="1"/>
  <c r="K79" i="3"/>
  <c r="K78" i="3" s="1"/>
  <c r="K11" i="3" s="1"/>
  <c r="J79" i="3"/>
  <c r="I79" i="3"/>
  <c r="I78" i="3" s="1"/>
  <c r="I11" i="3" s="1"/>
  <c r="H79" i="3"/>
  <c r="H78" i="3" s="1"/>
  <c r="H11" i="3" s="1"/>
  <c r="G79" i="3"/>
  <c r="G78" i="3" s="1"/>
  <c r="G11" i="3" s="1"/>
  <c r="F79" i="3"/>
  <c r="F78" i="3" s="1"/>
  <c r="F11" i="3" s="1"/>
  <c r="E79" i="3"/>
  <c r="E78" i="3" s="1"/>
  <c r="E11" i="3" s="1"/>
  <c r="D79" i="3"/>
  <c r="D78" i="3" s="1"/>
  <c r="D11" i="3" s="1"/>
  <c r="C79" i="3"/>
  <c r="C78" i="3" s="1"/>
  <c r="C11" i="3" s="1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L73" i="3"/>
  <c r="K73" i="3"/>
  <c r="J72" i="3"/>
  <c r="I73" i="3"/>
  <c r="H73" i="3"/>
  <c r="H72" i="3" s="1"/>
  <c r="G73" i="3"/>
  <c r="F73" i="3"/>
  <c r="E73" i="3"/>
  <c r="D73" i="3"/>
  <c r="C73" i="3"/>
  <c r="O66" i="3"/>
  <c r="O65" i="3" s="1"/>
  <c r="N66" i="3"/>
  <c r="N65" i="3" s="1"/>
  <c r="M66" i="3"/>
  <c r="M65" i="3" s="1"/>
  <c r="L66" i="3"/>
  <c r="K66" i="3"/>
  <c r="K65" i="3" s="1"/>
  <c r="J66" i="3"/>
  <c r="J65" i="3" s="1"/>
  <c r="I66" i="3"/>
  <c r="I65" i="3" s="1"/>
  <c r="H66" i="3"/>
  <c r="H65" i="3" s="1"/>
  <c r="G66" i="3"/>
  <c r="G65" i="3" s="1"/>
  <c r="F66" i="3"/>
  <c r="F65" i="3" s="1"/>
  <c r="E66" i="3"/>
  <c r="D66" i="3"/>
  <c r="C66" i="3"/>
  <c r="L65" i="3"/>
  <c r="O61" i="3"/>
  <c r="O60" i="3" s="1"/>
  <c r="N61" i="3"/>
  <c r="M61" i="3"/>
  <c r="M60" i="3" s="1"/>
  <c r="L61" i="3"/>
  <c r="L60" i="3" s="1"/>
  <c r="K61" i="3"/>
  <c r="K60" i="3" s="1"/>
  <c r="J61" i="3"/>
  <c r="J60" i="3" s="1"/>
  <c r="I61" i="3"/>
  <c r="I60" i="3" s="1"/>
  <c r="H61" i="3"/>
  <c r="H60" i="3" s="1"/>
  <c r="G61" i="3"/>
  <c r="G60" i="3" s="1"/>
  <c r="F61" i="3"/>
  <c r="F60" i="3" s="1"/>
  <c r="E61" i="3"/>
  <c r="D61" i="3"/>
  <c r="C61" i="3"/>
  <c r="N60" i="3"/>
  <c r="M52" i="3"/>
  <c r="O52" i="3"/>
  <c r="N52" i="3"/>
  <c r="L52" i="3"/>
  <c r="K52" i="3"/>
  <c r="J52" i="3"/>
  <c r="I52" i="3"/>
  <c r="H52" i="3"/>
  <c r="E52" i="3"/>
  <c r="D52" i="3"/>
  <c r="C52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O41" i="3"/>
  <c r="N41" i="3"/>
  <c r="M41" i="3"/>
  <c r="M29" i="3" s="1"/>
  <c r="L41" i="3"/>
  <c r="K41" i="3"/>
  <c r="J41" i="3"/>
  <c r="I41" i="3"/>
  <c r="H41" i="3"/>
  <c r="E41" i="3"/>
  <c r="D41" i="3"/>
  <c r="C41" i="3"/>
  <c r="O35" i="3"/>
  <c r="N35" i="3"/>
  <c r="M35" i="3"/>
  <c r="L35" i="3"/>
  <c r="K35" i="3"/>
  <c r="J35" i="3"/>
  <c r="I35" i="3"/>
  <c r="H35" i="3"/>
  <c r="E35" i="3"/>
  <c r="D35" i="3"/>
  <c r="C35" i="3"/>
  <c r="N30" i="3"/>
  <c r="L30" i="3"/>
  <c r="K30" i="3"/>
  <c r="I30" i="3"/>
  <c r="H30" i="3"/>
  <c r="E30" i="3"/>
  <c r="D30" i="3"/>
  <c r="C30" i="3"/>
  <c r="K26" i="3"/>
  <c r="H26" i="3"/>
  <c r="F26" i="3"/>
  <c r="E26" i="3"/>
  <c r="D26" i="3"/>
  <c r="C26" i="3"/>
  <c r="C25" i="3"/>
  <c r="C24" i="3" s="1"/>
  <c r="O24" i="3"/>
  <c r="N24" i="3"/>
  <c r="M24" i="3"/>
  <c r="L24" i="3"/>
  <c r="K24" i="3"/>
  <c r="J24" i="3"/>
  <c r="I24" i="3"/>
  <c r="H24" i="3"/>
  <c r="G24" i="3"/>
  <c r="F24" i="3"/>
  <c r="E24" i="3"/>
  <c r="D24" i="3"/>
  <c r="O21" i="3"/>
  <c r="N21" i="3"/>
  <c r="N27" i="3" s="1"/>
  <c r="N26" i="3" s="1"/>
  <c r="M21" i="3"/>
  <c r="L21" i="3"/>
  <c r="L27" i="3" s="1"/>
  <c r="L26" i="3" s="1"/>
  <c r="K21" i="3"/>
  <c r="J21" i="3"/>
  <c r="I21" i="3"/>
  <c r="H21" i="3"/>
  <c r="G21" i="3"/>
  <c r="E21" i="3"/>
  <c r="D21" i="3"/>
  <c r="C21" i="3"/>
  <c r="L13" i="3"/>
  <c r="K13" i="3"/>
  <c r="I13" i="3"/>
  <c r="H13" i="3"/>
  <c r="O105" i="3" l="1"/>
  <c r="O104" i="3" s="1"/>
  <c r="O103" i="3" s="1"/>
  <c r="J29" i="3"/>
  <c r="O29" i="3"/>
  <c r="O26" i="3"/>
  <c r="O20" i="3" s="1"/>
  <c r="M26" i="3"/>
  <c r="M20" i="3" s="1"/>
  <c r="J20" i="3"/>
  <c r="J19" i="3" s="1"/>
  <c r="J288" i="3"/>
  <c r="O98" i="3"/>
  <c r="J98" i="3"/>
  <c r="N116" i="3"/>
  <c r="F148" i="3"/>
  <c r="F147" i="3" s="1"/>
  <c r="F146" i="3" s="1"/>
  <c r="N130" i="3"/>
  <c r="J156" i="3"/>
  <c r="J141" i="3"/>
  <c r="G91" i="3"/>
  <c r="N99" i="3"/>
  <c r="F116" i="3"/>
  <c r="J164" i="3"/>
  <c r="J163" i="3" s="1"/>
  <c r="J162" i="3" s="1"/>
  <c r="J161" i="3" s="1"/>
  <c r="O286" i="3"/>
  <c r="O285" i="3" s="1"/>
  <c r="O279" i="3" s="1"/>
  <c r="H156" i="3"/>
  <c r="H12" i="3" s="1"/>
  <c r="H141" i="3"/>
  <c r="K147" i="3"/>
  <c r="K124" i="3"/>
  <c r="F156" i="3"/>
  <c r="F141" i="3"/>
  <c r="F135" i="3" s="1"/>
  <c r="G156" i="3"/>
  <c r="G12" i="3" s="1"/>
  <c r="G141" i="3"/>
  <c r="F105" i="3"/>
  <c r="J225" i="3"/>
  <c r="K278" i="3"/>
  <c r="K10" i="3" s="1"/>
  <c r="K288" i="3"/>
  <c r="I108" i="3"/>
  <c r="I104" i="3" s="1"/>
  <c r="I103" i="3" s="1"/>
  <c r="H20" i="3"/>
  <c r="G288" i="3"/>
  <c r="D12" i="3"/>
  <c r="O72" i="3"/>
  <c r="E12" i="3"/>
  <c r="F207" i="3"/>
  <c r="I279" i="3"/>
  <c r="I207" i="3"/>
  <c r="C146" i="3"/>
  <c r="D146" i="3"/>
  <c r="H178" i="3"/>
  <c r="H177" i="3" s="1"/>
  <c r="G116" i="3"/>
  <c r="H207" i="3"/>
  <c r="H279" i="3"/>
  <c r="K116" i="3"/>
  <c r="K104" i="3" s="1"/>
  <c r="K103" i="3" s="1"/>
  <c r="G148" i="3"/>
  <c r="G147" i="3" s="1"/>
  <c r="G265" i="3"/>
  <c r="N148" i="3"/>
  <c r="N108" i="3"/>
  <c r="N104" i="3" s="1"/>
  <c r="N103" i="3" s="1"/>
  <c r="L116" i="3"/>
  <c r="N195" i="3"/>
  <c r="L108" i="3"/>
  <c r="L105" i="3" s="1"/>
  <c r="K98" i="3"/>
  <c r="F216" i="3"/>
  <c r="J265" i="3"/>
  <c r="H148" i="3"/>
  <c r="H147" i="3" s="1"/>
  <c r="G245" i="3"/>
  <c r="L265" i="3"/>
  <c r="M265" i="3"/>
  <c r="H216" i="3"/>
  <c r="L72" i="3"/>
  <c r="L148" i="3"/>
  <c r="L135" i="3" s="1"/>
  <c r="M148" i="3"/>
  <c r="M147" i="3" s="1"/>
  <c r="D163" i="3"/>
  <c r="D162" i="3" s="1"/>
  <c r="D161" i="3" s="1"/>
  <c r="J148" i="3"/>
  <c r="J147" i="3" s="1"/>
  <c r="D177" i="3"/>
  <c r="I147" i="3"/>
  <c r="I146" i="3" s="1"/>
  <c r="K146" i="3"/>
  <c r="K130" i="3" s="1"/>
  <c r="K245" i="3"/>
  <c r="G72" i="3"/>
  <c r="L146" i="3"/>
  <c r="D215" i="3"/>
  <c r="D9" i="3" s="1"/>
  <c r="O245" i="3"/>
  <c r="O215" i="3" s="1"/>
  <c r="G207" i="3"/>
  <c r="E215" i="3"/>
  <c r="E9" i="3" s="1"/>
  <c r="I245" i="3"/>
  <c r="F265" i="3"/>
  <c r="K279" i="3"/>
  <c r="G163" i="3"/>
  <c r="G162" i="3" s="1"/>
  <c r="G161" i="3" s="1"/>
  <c r="K12" i="3"/>
  <c r="L207" i="3"/>
  <c r="F245" i="3"/>
  <c r="C255" i="3"/>
  <c r="C254" i="3" s="1"/>
  <c r="C253" i="3" s="1"/>
  <c r="C226" i="3" s="1"/>
  <c r="C215" i="3" s="1"/>
  <c r="O256" i="3"/>
  <c r="O255" i="3" s="1"/>
  <c r="K29" i="3"/>
  <c r="D19" i="3"/>
  <c r="D18" i="3" s="1"/>
  <c r="L12" i="3"/>
  <c r="M105" i="3"/>
  <c r="M104" i="3" s="1"/>
  <c r="E255" i="3"/>
  <c r="E254" i="3" s="1"/>
  <c r="E253" i="3" s="1"/>
  <c r="H245" i="3"/>
  <c r="L288" i="3"/>
  <c r="I29" i="3"/>
  <c r="F29" i="3"/>
  <c r="N72" i="3"/>
  <c r="M72" i="3"/>
  <c r="G146" i="3"/>
  <c r="L187" i="3"/>
  <c r="N288" i="3"/>
  <c r="H278" i="3"/>
  <c r="H10" i="3" s="1"/>
  <c r="M178" i="3"/>
  <c r="E147" i="3"/>
  <c r="J116" i="3"/>
  <c r="J104" i="3" s="1"/>
  <c r="I116" i="3"/>
  <c r="L163" i="3"/>
  <c r="L162" i="3" s="1"/>
  <c r="L161" i="3" s="1"/>
  <c r="G216" i="3"/>
  <c r="H225" i="3"/>
  <c r="G225" i="3"/>
  <c r="L245" i="3"/>
  <c r="N278" i="3"/>
  <c r="C177" i="3"/>
  <c r="I225" i="3"/>
  <c r="G29" i="3"/>
  <c r="H29" i="3"/>
  <c r="H19" i="3" s="1"/>
  <c r="H18" i="3" s="1"/>
  <c r="C104" i="3"/>
  <c r="C103" i="3" s="1"/>
  <c r="F72" i="3"/>
  <c r="M116" i="3"/>
  <c r="F164" i="3"/>
  <c r="F163" i="3" s="1"/>
  <c r="F162" i="3" s="1"/>
  <c r="F161" i="3" s="1"/>
  <c r="E163" i="3"/>
  <c r="E162" i="3" s="1"/>
  <c r="E161" i="3" s="1"/>
  <c r="M92" i="3"/>
  <c r="M91" i="3" s="1"/>
  <c r="I187" i="3"/>
  <c r="H187" i="3"/>
  <c r="K225" i="3"/>
  <c r="K255" i="3"/>
  <c r="K8" i="3" s="1"/>
  <c r="J256" i="3"/>
  <c r="H256" i="3"/>
  <c r="I288" i="3"/>
  <c r="L29" i="3"/>
  <c r="O78" i="3"/>
  <c r="O11" i="3" s="1"/>
  <c r="I163" i="3"/>
  <c r="I162" i="3" s="1"/>
  <c r="I161" i="3" s="1"/>
  <c r="F178" i="3"/>
  <c r="F187" i="3"/>
  <c r="E177" i="3"/>
  <c r="O207" i="3"/>
  <c r="K215" i="3"/>
  <c r="K9" i="3" s="1"/>
  <c r="L256" i="3"/>
  <c r="I256" i="3"/>
  <c r="I105" i="3"/>
  <c r="J78" i="3"/>
  <c r="J11" i="3" s="1"/>
  <c r="G178" i="3"/>
  <c r="M225" i="3"/>
  <c r="L255" i="3"/>
  <c r="M256" i="3"/>
  <c r="D278" i="3"/>
  <c r="D10" i="3" s="1"/>
  <c r="I72" i="3"/>
  <c r="M78" i="3"/>
  <c r="M11" i="3" s="1"/>
  <c r="I12" i="3"/>
  <c r="G187" i="3"/>
  <c r="N255" i="3"/>
  <c r="E278" i="3"/>
  <c r="E10" i="3" s="1"/>
  <c r="E104" i="3"/>
  <c r="E103" i="3" s="1"/>
  <c r="D104" i="3"/>
  <c r="D103" i="3" s="1"/>
  <c r="E19" i="3"/>
  <c r="K72" i="3"/>
  <c r="L225" i="3"/>
  <c r="D255" i="3"/>
  <c r="H265" i="3"/>
  <c r="M288" i="3"/>
  <c r="M278" i="3" s="1"/>
  <c r="C19" i="3"/>
  <c r="C18" i="3" s="1"/>
  <c r="O148" i="3"/>
  <c r="H163" i="3"/>
  <c r="H162" i="3" s="1"/>
  <c r="H161" i="3" s="1"/>
  <c r="F92" i="3"/>
  <c r="F91" i="3" s="1"/>
  <c r="J207" i="3"/>
  <c r="N225" i="3"/>
  <c r="I265" i="3"/>
  <c r="C278" i="3"/>
  <c r="G20" i="3"/>
  <c r="G19" i="3" s="1"/>
  <c r="H105" i="3"/>
  <c r="G104" i="3"/>
  <c r="G103" i="3" s="1"/>
  <c r="H116" i="3"/>
  <c r="F225" i="3"/>
  <c r="M245" i="3"/>
  <c r="J245" i="3"/>
  <c r="J215" i="3" s="1"/>
  <c r="L278" i="3"/>
  <c r="L10" i="3" s="1"/>
  <c r="O288" i="3"/>
  <c r="C10" i="3"/>
  <c r="F12" i="3"/>
  <c r="L19" i="3"/>
  <c r="L20" i="3"/>
  <c r="O178" i="3"/>
  <c r="I215" i="3"/>
  <c r="I9" i="3" s="1"/>
  <c r="N105" i="3"/>
  <c r="I178" i="3"/>
  <c r="I177" i="3"/>
  <c r="E8" i="3"/>
  <c r="M216" i="3"/>
  <c r="L215" i="3"/>
  <c r="L9" i="3" s="1"/>
  <c r="L216" i="3"/>
  <c r="K148" i="3"/>
  <c r="K135" i="3" s="1"/>
  <c r="L178" i="3"/>
  <c r="I255" i="3"/>
  <c r="J279" i="3"/>
  <c r="I278" i="3"/>
  <c r="I10" i="3" s="1"/>
  <c r="I27" i="3"/>
  <c r="I26" i="3" s="1"/>
  <c r="I19" i="3" s="1"/>
  <c r="N178" i="3"/>
  <c r="N256" i="3"/>
  <c r="L279" i="3"/>
  <c r="L177" i="3"/>
  <c r="I216" i="3"/>
  <c r="N279" i="3"/>
  <c r="K216" i="3"/>
  <c r="I98" i="3"/>
  <c r="N223" i="3"/>
  <c r="N222" i="3" s="1"/>
  <c r="N216" i="3" s="1"/>
  <c r="L98" i="3"/>
  <c r="M86" i="3" l="1"/>
  <c r="M19" i="3"/>
  <c r="M7" i="3" s="1"/>
  <c r="O19" i="3"/>
  <c r="M103" i="3"/>
  <c r="J103" i="3"/>
  <c r="J7" i="3"/>
  <c r="J278" i="3"/>
  <c r="J10" i="3" s="1"/>
  <c r="J255" i="3"/>
  <c r="O8" i="3"/>
  <c r="G278" i="3"/>
  <c r="G10" i="3" s="1"/>
  <c r="O278" i="3"/>
  <c r="J9" i="3"/>
  <c r="F104" i="3"/>
  <c r="F103" i="3" s="1"/>
  <c r="F13" i="3"/>
  <c r="F215" i="3"/>
  <c r="F9" i="3" s="1"/>
  <c r="I130" i="3"/>
  <c r="O147" i="3"/>
  <c r="O146" i="3" s="1"/>
  <c r="G13" i="3"/>
  <c r="M146" i="3"/>
  <c r="N135" i="3"/>
  <c r="C17" i="3"/>
  <c r="J146" i="3"/>
  <c r="H146" i="3"/>
  <c r="H130" i="3" s="1"/>
  <c r="H135" i="3"/>
  <c r="L124" i="3"/>
  <c r="L130" i="3"/>
  <c r="N177" i="3"/>
  <c r="F10" i="3"/>
  <c r="D8" i="3"/>
  <c r="C8" i="3"/>
  <c r="K19" i="3"/>
  <c r="K7" i="3" s="1"/>
  <c r="K14" i="3" s="1"/>
  <c r="G255" i="3"/>
  <c r="E176" i="3"/>
  <c r="E175" i="3" s="1"/>
  <c r="E124" i="3" s="1"/>
  <c r="L104" i="3"/>
  <c r="L103" i="3" s="1"/>
  <c r="O254" i="3"/>
  <c r="O253" i="3" s="1"/>
  <c r="E7" i="3"/>
  <c r="E14" i="3" s="1"/>
  <c r="D254" i="3"/>
  <c r="D253" i="3" s="1"/>
  <c r="M255" i="3"/>
  <c r="M254" i="3" s="1"/>
  <c r="M253" i="3" s="1"/>
  <c r="K176" i="3"/>
  <c r="K175" i="3" s="1"/>
  <c r="H215" i="3"/>
  <c r="H9" i="3" s="1"/>
  <c r="D7" i="3"/>
  <c r="D14" i="3" s="1"/>
  <c r="D17" i="3"/>
  <c r="H255" i="3"/>
  <c r="H254" i="3" s="1"/>
  <c r="H253" i="3" s="1"/>
  <c r="D176" i="3"/>
  <c r="D175" i="3" s="1"/>
  <c r="D124" i="3" s="1"/>
  <c r="I20" i="3"/>
  <c r="C176" i="3"/>
  <c r="C9" i="3" s="1"/>
  <c r="G215" i="3"/>
  <c r="G9" i="3" s="1"/>
  <c r="E18" i="3"/>
  <c r="E17" i="3" s="1"/>
  <c r="I254" i="3"/>
  <c r="I253" i="3" s="1"/>
  <c r="K254" i="3"/>
  <c r="K253" i="3" s="1"/>
  <c r="L254" i="3"/>
  <c r="L253" i="3" s="1"/>
  <c r="M177" i="3"/>
  <c r="M8" i="3" s="1"/>
  <c r="M215" i="3"/>
  <c r="C7" i="3"/>
  <c r="C14" i="3" s="1"/>
  <c r="F177" i="3"/>
  <c r="G177" i="3"/>
  <c r="H104" i="3"/>
  <c r="N254" i="3"/>
  <c r="N253" i="3" s="1"/>
  <c r="I18" i="3"/>
  <c r="I17" i="3" s="1"/>
  <c r="I7" i="3"/>
  <c r="I14" i="3" s="1"/>
  <c r="C233" i="3"/>
  <c r="L8" i="3"/>
  <c r="L176" i="3"/>
  <c r="L175" i="3" s="1"/>
  <c r="L92" i="3" s="1"/>
  <c r="N215" i="3"/>
  <c r="N9" i="3" s="1"/>
  <c r="O176" i="3"/>
  <c r="O175" i="3" s="1"/>
  <c r="N18" i="3"/>
  <c r="N17" i="3" s="1"/>
  <c r="N14" i="3"/>
  <c r="L18" i="3"/>
  <c r="I176" i="3"/>
  <c r="I175" i="3" s="1"/>
  <c r="I92" i="3" s="1"/>
  <c r="I8" i="3"/>
  <c r="M14" i="3" l="1"/>
  <c r="M18" i="3"/>
  <c r="M17" i="3" s="1"/>
  <c r="M16" i="3" s="1"/>
  <c r="O18" i="3"/>
  <c r="O17" i="3" s="1"/>
  <c r="O16" i="3" s="1"/>
  <c r="J254" i="3"/>
  <c r="J253" i="3" s="1"/>
  <c r="J176" i="3"/>
  <c r="J175" i="3" s="1"/>
  <c r="J8" i="3"/>
  <c r="J18" i="3"/>
  <c r="J17" i="3" s="1"/>
  <c r="F18" i="3"/>
  <c r="F17" i="3" s="1"/>
  <c r="F7" i="3"/>
  <c r="G254" i="3"/>
  <c r="G253" i="3" s="1"/>
  <c r="F254" i="3"/>
  <c r="F253" i="3" s="1"/>
  <c r="F8" i="3"/>
  <c r="I124" i="3"/>
  <c r="L7" i="3"/>
  <c r="L14" i="3" s="1"/>
  <c r="C175" i="3"/>
  <c r="D16" i="3"/>
  <c r="L17" i="3"/>
  <c r="L16" i="3" s="1"/>
  <c r="K18" i="3"/>
  <c r="K17" i="3" s="1"/>
  <c r="K16" i="3" s="1"/>
  <c r="E16" i="3"/>
  <c r="H8" i="3"/>
  <c r="H176" i="3"/>
  <c r="H175" i="3" s="1"/>
  <c r="H101" i="3" s="1"/>
  <c r="N176" i="3"/>
  <c r="N175" i="3" s="1"/>
  <c r="F176" i="3"/>
  <c r="F175" i="3" s="1"/>
  <c r="I16" i="3"/>
  <c r="M176" i="3"/>
  <c r="M175" i="3" s="1"/>
  <c r="G18" i="3"/>
  <c r="G17" i="3" s="1"/>
  <c r="G7" i="3"/>
  <c r="G176" i="3"/>
  <c r="G175" i="3" s="1"/>
  <c r="G8" i="3"/>
  <c r="H103" i="3"/>
  <c r="H17" i="3" s="1"/>
  <c r="H7" i="3"/>
  <c r="H14" i="3" s="1"/>
  <c r="M58" i="2"/>
  <c r="M89" i="2"/>
  <c r="J33" i="2"/>
  <c r="J16" i="3" l="1"/>
  <c r="F16" i="3"/>
  <c r="N92" i="3"/>
  <c r="N124" i="3"/>
  <c r="N8" i="3" s="1"/>
  <c r="C16" i="3"/>
  <c r="C124" i="3"/>
  <c r="H92" i="3"/>
  <c r="N16" i="3"/>
  <c r="H16" i="3"/>
  <c r="G16" i="3"/>
  <c r="G14" i="3"/>
  <c r="H98" i="3"/>
  <c r="F124" i="2"/>
  <c r="F250" i="2"/>
  <c r="C241" i="2"/>
  <c r="C240" i="2" s="1"/>
  <c r="O240" i="2"/>
  <c r="N240" i="2"/>
  <c r="M240" i="2"/>
  <c r="L240" i="2"/>
  <c r="K240" i="2"/>
  <c r="J240" i="2"/>
  <c r="I240" i="2"/>
  <c r="H240" i="2"/>
  <c r="G240" i="2"/>
  <c r="F240" i="2"/>
  <c r="E240" i="2"/>
  <c r="D240" i="2"/>
  <c r="G227" i="2"/>
  <c r="F227" i="2"/>
  <c r="C218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G152" i="2"/>
  <c r="F152" i="2"/>
  <c r="G165" i="2"/>
  <c r="F165" i="2"/>
  <c r="J106" i="2"/>
  <c r="H99" i="3" l="1"/>
  <c r="O124" i="2"/>
  <c r="M124" i="2"/>
  <c r="M130" i="2"/>
  <c r="J124" i="2"/>
  <c r="O110" i="2"/>
  <c r="M110" i="2"/>
  <c r="J110" i="2"/>
  <c r="G110" i="2"/>
  <c r="F110" i="2"/>
  <c r="G40" i="2"/>
  <c r="C65" i="2"/>
  <c r="D65" i="2"/>
  <c r="E65" i="2"/>
  <c r="F65" i="2"/>
  <c r="F64" i="2" s="1"/>
  <c r="G65" i="2"/>
  <c r="G64" i="2" s="1"/>
  <c r="H65" i="2"/>
  <c r="H64" i="2" s="1"/>
  <c r="I65" i="2"/>
  <c r="I64" i="2" s="1"/>
  <c r="J65" i="2"/>
  <c r="J64" i="2" s="1"/>
  <c r="K65" i="2"/>
  <c r="K64" i="2" s="1"/>
  <c r="L65" i="2"/>
  <c r="L64" i="2" s="1"/>
  <c r="M65" i="2"/>
  <c r="M64" i="2" s="1"/>
  <c r="N65" i="2"/>
  <c r="N64" i="2" s="1"/>
  <c r="O65" i="2"/>
  <c r="O64" i="2" s="1"/>
  <c r="M51" i="2" l="1"/>
  <c r="J51" i="2"/>
  <c r="O40" i="2"/>
  <c r="M40" i="2"/>
  <c r="J40" i="2"/>
  <c r="M34" i="2"/>
  <c r="J34" i="2"/>
  <c r="O29" i="2"/>
  <c r="M29" i="2"/>
  <c r="J29" i="2"/>
  <c r="O96" i="2" l="1"/>
  <c r="J96" i="2"/>
  <c r="J85" i="2" l="1"/>
  <c r="M157" i="2"/>
  <c r="J158" i="2"/>
  <c r="O256" i="2" l="1"/>
  <c r="O255" i="2" s="1"/>
  <c r="N256" i="2"/>
  <c r="N255" i="2" s="1"/>
  <c r="M256" i="2"/>
  <c r="M255" i="2" s="1"/>
  <c r="L256" i="2"/>
  <c r="L255" i="2" s="1"/>
  <c r="K256" i="2"/>
  <c r="K255" i="2" s="1"/>
  <c r="J256" i="2"/>
  <c r="J255" i="2" s="1"/>
  <c r="I256" i="2"/>
  <c r="I255" i="2" s="1"/>
  <c r="H256" i="2"/>
  <c r="H255" i="2" s="1"/>
  <c r="G256" i="2"/>
  <c r="G255" i="2" s="1"/>
  <c r="F256" i="2"/>
  <c r="F255" i="2" s="1"/>
  <c r="E256" i="2"/>
  <c r="D256" i="2"/>
  <c r="C256" i="2"/>
  <c r="O250" i="2"/>
  <c r="N250" i="2"/>
  <c r="M250" i="2"/>
  <c r="L250" i="2"/>
  <c r="K250" i="2"/>
  <c r="J250" i="2"/>
  <c r="I250" i="2"/>
  <c r="H250" i="2"/>
  <c r="G250" i="2"/>
  <c r="E250" i="2"/>
  <c r="D250" i="2"/>
  <c r="C250" i="2"/>
  <c r="O246" i="2"/>
  <c r="N246" i="2"/>
  <c r="M246" i="2"/>
  <c r="L246" i="2"/>
  <c r="K246" i="2"/>
  <c r="J246" i="2"/>
  <c r="I246" i="2"/>
  <c r="H246" i="2"/>
  <c r="G246" i="2"/>
  <c r="F246" i="2"/>
  <c r="E246" i="2"/>
  <c r="D246" i="2"/>
  <c r="C246" i="2"/>
  <c r="N242" i="2"/>
  <c r="L242" i="2"/>
  <c r="K242" i="2"/>
  <c r="I242" i="2"/>
  <c r="H242" i="2"/>
  <c r="G242" i="2"/>
  <c r="F242" i="2"/>
  <c r="E242" i="2"/>
  <c r="D242" i="2"/>
  <c r="C242" i="2"/>
  <c r="O237" i="2"/>
  <c r="N237" i="2"/>
  <c r="M237" i="2"/>
  <c r="L237" i="2"/>
  <c r="K237" i="2"/>
  <c r="J237" i="2"/>
  <c r="J243" i="2" s="1"/>
  <c r="I237" i="2"/>
  <c r="H237" i="2"/>
  <c r="G237" i="2"/>
  <c r="F237" i="2"/>
  <c r="E237" i="2"/>
  <c r="D237" i="2"/>
  <c r="C237" i="2"/>
  <c r="O233" i="2"/>
  <c r="O232" i="2" s="1"/>
  <c r="N233" i="2"/>
  <c r="N232" i="2" s="1"/>
  <c r="M233" i="2"/>
  <c r="M232" i="2" s="1"/>
  <c r="L233" i="2"/>
  <c r="L232" i="2" s="1"/>
  <c r="K233" i="2"/>
  <c r="K232" i="2" s="1"/>
  <c r="J233" i="2"/>
  <c r="J232" i="2" s="1"/>
  <c r="I233" i="2"/>
  <c r="I232" i="2" s="1"/>
  <c r="H233" i="2"/>
  <c r="H232" i="2" s="1"/>
  <c r="G233" i="2"/>
  <c r="G232" i="2" s="1"/>
  <c r="F233" i="2"/>
  <c r="F232" i="2" s="1"/>
  <c r="E233" i="2"/>
  <c r="D233" i="2"/>
  <c r="C233" i="2"/>
  <c r="O227" i="2"/>
  <c r="N227" i="2"/>
  <c r="M227" i="2"/>
  <c r="L227" i="2"/>
  <c r="K227" i="2"/>
  <c r="J227" i="2"/>
  <c r="I227" i="2"/>
  <c r="H227" i="2"/>
  <c r="E227" i="2"/>
  <c r="D227" i="2"/>
  <c r="C227" i="2"/>
  <c r="O223" i="2"/>
  <c r="N223" i="2"/>
  <c r="M223" i="2"/>
  <c r="L223" i="2"/>
  <c r="K223" i="2"/>
  <c r="J223" i="2"/>
  <c r="I223" i="2"/>
  <c r="H223" i="2"/>
  <c r="G223" i="2"/>
  <c r="F223" i="2"/>
  <c r="E223" i="2"/>
  <c r="D223" i="2"/>
  <c r="C223" i="2"/>
  <c r="O219" i="2"/>
  <c r="N219" i="2"/>
  <c r="L219" i="2"/>
  <c r="K219" i="2"/>
  <c r="J219" i="2"/>
  <c r="I219" i="2"/>
  <c r="H219" i="2"/>
  <c r="G219" i="2"/>
  <c r="F219" i="2"/>
  <c r="E219" i="2"/>
  <c r="D219" i="2"/>
  <c r="C219" i="2"/>
  <c r="O214" i="2"/>
  <c r="N214" i="2"/>
  <c r="N213" i="2" s="1"/>
  <c r="M214" i="2"/>
  <c r="L214" i="2"/>
  <c r="K214" i="2"/>
  <c r="J214" i="2"/>
  <c r="J213" i="2" s="1"/>
  <c r="I214" i="2"/>
  <c r="H214" i="2"/>
  <c r="G214" i="2"/>
  <c r="F214" i="2"/>
  <c r="E214" i="2"/>
  <c r="D214" i="2"/>
  <c r="C214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N204" i="2"/>
  <c r="N203" i="2" s="1"/>
  <c r="N202" i="2" s="1"/>
  <c r="I204" i="2"/>
  <c r="I203" i="2" s="1"/>
  <c r="O203" i="2"/>
  <c r="M203" i="2"/>
  <c r="L203" i="2"/>
  <c r="K203" i="2"/>
  <c r="J203" i="2"/>
  <c r="H203" i="2"/>
  <c r="G203" i="2"/>
  <c r="F203" i="2"/>
  <c r="E203" i="2"/>
  <c r="D203" i="2"/>
  <c r="C203" i="2"/>
  <c r="O199" i="2"/>
  <c r="N199" i="2"/>
  <c r="M199" i="2"/>
  <c r="L199" i="2"/>
  <c r="K199" i="2"/>
  <c r="J199" i="2"/>
  <c r="I199" i="2"/>
  <c r="H199" i="2"/>
  <c r="G199" i="2"/>
  <c r="F199" i="2"/>
  <c r="E199" i="2"/>
  <c r="D199" i="2"/>
  <c r="C199" i="2"/>
  <c r="M190" i="2"/>
  <c r="N192" i="2"/>
  <c r="N190" i="2" s="1"/>
  <c r="L192" i="2"/>
  <c r="L190" i="2" s="1"/>
  <c r="I192" i="2"/>
  <c r="I190" i="2" s="1"/>
  <c r="O190" i="2"/>
  <c r="K190" i="2"/>
  <c r="J190" i="2"/>
  <c r="H190" i="2"/>
  <c r="G190" i="2"/>
  <c r="F190" i="2"/>
  <c r="E190" i="2"/>
  <c r="D190" i="2"/>
  <c r="O187" i="2"/>
  <c r="N187" i="2"/>
  <c r="M187" i="2"/>
  <c r="L187" i="2"/>
  <c r="K187" i="2"/>
  <c r="J187" i="2"/>
  <c r="I187" i="2"/>
  <c r="H187" i="2"/>
  <c r="G187" i="2"/>
  <c r="F187" i="2"/>
  <c r="E187" i="2"/>
  <c r="D187" i="2"/>
  <c r="C187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K179" i="2"/>
  <c r="H179" i="2"/>
  <c r="G179" i="2"/>
  <c r="F179" i="2"/>
  <c r="E179" i="2"/>
  <c r="D179" i="2"/>
  <c r="C179" i="2"/>
  <c r="C178" i="2"/>
  <c r="C177" i="2" s="1"/>
  <c r="O177" i="2"/>
  <c r="N177" i="2"/>
  <c r="M177" i="2"/>
  <c r="L177" i="2"/>
  <c r="K177" i="2"/>
  <c r="J177" i="2"/>
  <c r="I177" i="2"/>
  <c r="H177" i="2"/>
  <c r="G177" i="2"/>
  <c r="F177" i="2"/>
  <c r="E177" i="2"/>
  <c r="D177" i="2"/>
  <c r="O174" i="2"/>
  <c r="O180" i="2" s="1"/>
  <c r="O179" i="2" s="1"/>
  <c r="N174" i="2"/>
  <c r="M174" i="2"/>
  <c r="M180" i="2" s="1"/>
  <c r="M179" i="2" s="1"/>
  <c r="L174" i="2"/>
  <c r="L180" i="2" s="1"/>
  <c r="L179" i="2" s="1"/>
  <c r="K174" i="2"/>
  <c r="J174" i="2"/>
  <c r="I174" i="2"/>
  <c r="I180" i="2" s="1"/>
  <c r="I179" i="2" s="1"/>
  <c r="H174" i="2"/>
  <c r="G174" i="2"/>
  <c r="F174" i="2"/>
  <c r="E174" i="2"/>
  <c r="D174" i="2"/>
  <c r="C174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N166" i="2"/>
  <c r="N165" i="2" s="1"/>
  <c r="N164" i="2" s="1"/>
  <c r="I166" i="2"/>
  <c r="I165" i="2" s="1"/>
  <c r="O165" i="2"/>
  <c r="M165" i="2"/>
  <c r="L165" i="2"/>
  <c r="K165" i="2"/>
  <c r="J165" i="2"/>
  <c r="H165" i="2"/>
  <c r="E165" i="2"/>
  <c r="D165" i="2"/>
  <c r="C165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N159" i="2"/>
  <c r="L159" i="2"/>
  <c r="N154" i="2"/>
  <c r="L154" i="2"/>
  <c r="I154" i="2"/>
  <c r="I152" i="2" s="1"/>
  <c r="O152" i="2"/>
  <c r="M152" i="2"/>
  <c r="K152" i="2"/>
  <c r="J152" i="2"/>
  <c r="H152" i="2"/>
  <c r="E152" i="2"/>
  <c r="D152" i="2"/>
  <c r="C152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E142" i="2"/>
  <c r="E141" i="2" s="1"/>
  <c r="K141" i="2"/>
  <c r="H141" i="2"/>
  <c r="G141" i="2"/>
  <c r="F141" i="2"/>
  <c r="D141" i="2"/>
  <c r="C141" i="2"/>
  <c r="C140" i="2"/>
  <c r="C139" i="2" s="1"/>
  <c r="O139" i="2"/>
  <c r="N139" i="2"/>
  <c r="M139" i="2"/>
  <c r="L139" i="2"/>
  <c r="K139" i="2"/>
  <c r="J139" i="2"/>
  <c r="I139" i="2"/>
  <c r="H139" i="2"/>
  <c r="G139" i="2"/>
  <c r="F139" i="2"/>
  <c r="E139" i="2"/>
  <c r="D139" i="2"/>
  <c r="O136" i="2"/>
  <c r="N136" i="2"/>
  <c r="N142" i="2" s="1"/>
  <c r="N141" i="2" s="1"/>
  <c r="M136" i="2"/>
  <c r="M142" i="2" s="1"/>
  <c r="L136" i="2"/>
  <c r="L142" i="2" s="1"/>
  <c r="L141" i="2" s="1"/>
  <c r="K136" i="2"/>
  <c r="J136" i="2"/>
  <c r="I136" i="2"/>
  <c r="I142" i="2" s="1"/>
  <c r="I141" i="2" s="1"/>
  <c r="I135" i="2" s="1"/>
  <c r="H136" i="2"/>
  <c r="G136" i="2"/>
  <c r="F136" i="2"/>
  <c r="E136" i="2"/>
  <c r="D136" i="2"/>
  <c r="C136" i="2"/>
  <c r="K134" i="2"/>
  <c r="I131" i="2"/>
  <c r="I130" i="2" s="1"/>
  <c r="I129" i="2" s="1"/>
  <c r="O130" i="2"/>
  <c r="O129" i="2" s="1"/>
  <c r="N130" i="2"/>
  <c r="N129" i="2" s="1"/>
  <c r="M129" i="2"/>
  <c r="L130" i="2"/>
  <c r="L129" i="2" s="1"/>
  <c r="K130" i="2"/>
  <c r="K129" i="2" s="1"/>
  <c r="K120" i="2" s="1"/>
  <c r="K119" i="2" s="1"/>
  <c r="K118" i="2" s="1"/>
  <c r="J130" i="2"/>
  <c r="J129" i="2" s="1"/>
  <c r="H130" i="2"/>
  <c r="H129" i="2" s="1"/>
  <c r="G130" i="2"/>
  <c r="G129" i="2" s="1"/>
  <c r="F130" i="2"/>
  <c r="F129" i="2" s="1"/>
  <c r="E130" i="2"/>
  <c r="D130" i="2"/>
  <c r="C130" i="2"/>
  <c r="N124" i="2"/>
  <c r="N121" i="2" s="1"/>
  <c r="L124" i="2"/>
  <c r="I124" i="2"/>
  <c r="I121" i="2" s="1"/>
  <c r="H124" i="2"/>
  <c r="G124" i="2"/>
  <c r="E124" i="2"/>
  <c r="D124" i="2"/>
  <c r="C124" i="2"/>
  <c r="O122" i="2"/>
  <c r="O121" i="2" s="1"/>
  <c r="N122" i="2"/>
  <c r="M122" i="2"/>
  <c r="M121" i="2" s="1"/>
  <c r="L122" i="2"/>
  <c r="K122" i="2"/>
  <c r="J122" i="2"/>
  <c r="J121" i="2" s="1"/>
  <c r="I122" i="2"/>
  <c r="H122" i="2"/>
  <c r="G122" i="2"/>
  <c r="F122" i="2"/>
  <c r="F121" i="2" s="1"/>
  <c r="K121" i="2"/>
  <c r="H121" i="2"/>
  <c r="G121" i="2"/>
  <c r="O114" i="2"/>
  <c r="N114" i="2"/>
  <c r="M114" i="2"/>
  <c r="L114" i="2"/>
  <c r="K114" i="2"/>
  <c r="J114" i="2"/>
  <c r="J113" i="2" s="1"/>
  <c r="I114" i="2"/>
  <c r="H114" i="2"/>
  <c r="H113" i="2" s="1"/>
  <c r="G114" i="2"/>
  <c r="G113" i="2" s="1"/>
  <c r="F114" i="2"/>
  <c r="F113" i="2" s="1"/>
  <c r="O113" i="2"/>
  <c r="N113" i="2"/>
  <c r="M113" i="2"/>
  <c r="L113" i="2"/>
  <c r="K113" i="2"/>
  <c r="I113" i="2"/>
  <c r="E113" i="2"/>
  <c r="D113" i="2"/>
  <c r="C113" i="2"/>
  <c r="N110" i="2"/>
  <c r="L110" i="2"/>
  <c r="K110" i="2"/>
  <c r="I110" i="2"/>
  <c r="H110" i="2"/>
  <c r="O106" i="2"/>
  <c r="O105" i="2" s="1"/>
  <c r="O104" i="2" s="1"/>
  <c r="N106" i="2"/>
  <c r="M106" i="2"/>
  <c r="M105" i="2" s="1"/>
  <c r="M104" i="2" s="1"/>
  <c r="L106" i="2"/>
  <c r="K106" i="2"/>
  <c r="K104" i="2" s="1"/>
  <c r="J105" i="2"/>
  <c r="I106" i="2"/>
  <c r="H106" i="2"/>
  <c r="G106" i="2"/>
  <c r="G105" i="2" s="1"/>
  <c r="F106" i="2"/>
  <c r="F105" i="2" s="1"/>
  <c r="E106" i="2"/>
  <c r="D106" i="2"/>
  <c r="C106" i="2"/>
  <c r="C103" i="2" s="1"/>
  <c r="N104" i="2"/>
  <c r="O101" i="2"/>
  <c r="N101" i="2"/>
  <c r="M101" i="2"/>
  <c r="L101" i="2"/>
  <c r="K101" i="2"/>
  <c r="J101" i="2"/>
  <c r="J95" i="2" s="1"/>
  <c r="I101" i="2"/>
  <c r="H101" i="2"/>
  <c r="G101" i="2"/>
  <c r="F101" i="2"/>
  <c r="F95" i="2" s="1"/>
  <c r="E101" i="2"/>
  <c r="D101" i="2"/>
  <c r="C101" i="2"/>
  <c r="M96" i="2"/>
  <c r="N96" i="2"/>
  <c r="L96" i="2"/>
  <c r="K96" i="2"/>
  <c r="I96" i="2"/>
  <c r="H96" i="2"/>
  <c r="G96" i="2"/>
  <c r="F96" i="2"/>
  <c r="E96" i="2"/>
  <c r="D96" i="2"/>
  <c r="C96" i="2"/>
  <c r="O93" i="2"/>
  <c r="O92" i="2" s="1"/>
  <c r="N93" i="2"/>
  <c r="N92" i="2" s="1"/>
  <c r="M93" i="2"/>
  <c r="M92" i="2" s="1"/>
  <c r="L93" i="2"/>
  <c r="L92" i="2" s="1"/>
  <c r="K93" i="2"/>
  <c r="K92" i="2" s="1"/>
  <c r="J93" i="2"/>
  <c r="J92" i="2" s="1"/>
  <c r="I93" i="2"/>
  <c r="I92" i="2" s="1"/>
  <c r="H93" i="2"/>
  <c r="H92" i="2" s="1"/>
  <c r="G93" i="2"/>
  <c r="G92" i="2" s="1"/>
  <c r="F93" i="2"/>
  <c r="F92" i="2" s="1"/>
  <c r="D93" i="2"/>
  <c r="C93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N89" i="2"/>
  <c r="M85" i="2"/>
  <c r="L89" i="2"/>
  <c r="I89" i="2"/>
  <c r="N87" i="2"/>
  <c r="L87" i="2"/>
  <c r="I87" i="2"/>
  <c r="O85" i="2"/>
  <c r="N86" i="2"/>
  <c r="L86" i="2"/>
  <c r="I86" i="2"/>
  <c r="K85" i="2"/>
  <c r="H85" i="2"/>
  <c r="G85" i="2"/>
  <c r="F85" i="2"/>
  <c r="E85" i="2"/>
  <c r="D85" i="2"/>
  <c r="C85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O78" i="2"/>
  <c r="O77" i="2" s="1"/>
  <c r="N78" i="2"/>
  <c r="N77" i="2" s="1"/>
  <c r="M78" i="2"/>
  <c r="M77" i="2" s="1"/>
  <c r="L78" i="2"/>
  <c r="L77" i="2" s="1"/>
  <c r="L12" i="2" s="1"/>
  <c r="K78" i="2"/>
  <c r="K77" i="2" s="1"/>
  <c r="J78" i="2"/>
  <c r="J77" i="2" s="1"/>
  <c r="I78" i="2"/>
  <c r="I77" i="2" s="1"/>
  <c r="H78" i="2"/>
  <c r="H77" i="2" s="1"/>
  <c r="G78" i="2"/>
  <c r="G77" i="2" s="1"/>
  <c r="F78" i="2"/>
  <c r="F77" i="2" s="1"/>
  <c r="E78" i="2"/>
  <c r="E77" i="2" s="1"/>
  <c r="D78" i="2"/>
  <c r="D77" i="2" s="1"/>
  <c r="C78" i="2"/>
  <c r="C77" i="2" s="1"/>
  <c r="C12" i="2" s="1"/>
  <c r="O75" i="2"/>
  <c r="M75" i="2"/>
  <c r="J75" i="2"/>
  <c r="O73" i="2"/>
  <c r="N73" i="2"/>
  <c r="N72" i="2" s="1"/>
  <c r="N11" i="2" s="1"/>
  <c r="M73" i="2"/>
  <c r="L73" i="2"/>
  <c r="L72" i="2" s="1"/>
  <c r="L11" i="2" s="1"/>
  <c r="K73" i="2"/>
  <c r="K72" i="2" s="1"/>
  <c r="K11" i="2" s="1"/>
  <c r="J73" i="2"/>
  <c r="I73" i="2"/>
  <c r="I72" i="2" s="1"/>
  <c r="I11" i="2" s="1"/>
  <c r="H73" i="2"/>
  <c r="H72" i="2" s="1"/>
  <c r="H11" i="2" s="1"/>
  <c r="G73" i="2"/>
  <c r="G72" i="2" s="1"/>
  <c r="G11" i="2" s="1"/>
  <c r="F73" i="2"/>
  <c r="F72" i="2" s="1"/>
  <c r="F11" i="2" s="1"/>
  <c r="E73" i="2"/>
  <c r="E72" i="2" s="1"/>
  <c r="E11" i="2" s="1"/>
  <c r="D73" i="2"/>
  <c r="D72" i="2" s="1"/>
  <c r="D11" i="2" s="1"/>
  <c r="C73" i="2"/>
  <c r="C72" i="2" s="1"/>
  <c r="C11" i="2" s="1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O60" i="2"/>
  <c r="O59" i="2" s="1"/>
  <c r="N60" i="2"/>
  <c r="N59" i="2" s="1"/>
  <c r="M60" i="2"/>
  <c r="M59" i="2" s="1"/>
  <c r="L60" i="2"/>
  <c r="L59" i="2" s="1"/>
  <c r="K60" i="2"/>
  <c r="K59" i="2" s="1"/>
  <c r="J60" i="2"/>
  <c r="J59" i="2" s="1"/>
  <c r="I60" i="2"/>
  <c r="I59" i="2" s="1"/>
  <c r="H60" i="2"/>
  <c r="H59" i="2" s="1"/>
  <c r="G60" i="2"/>
  <c r="G59" i="2" s="1"/>
  <c r="F60" i="2"/>
  <c r="F59" i="2" s="1"/>
  <c r="E60" i="2"/>
  <c r="D60" i="2"/>
  <c r="C60" i="2"/>
  <c r="O51" i="2"/>
  <c r="N51" i="2"/>
  <c r="L51" i="2"/>
  <c r="K51" i="2"/>
  <c r="I51" i="2"/>
  <c r="H51" i="2"/>
  <c r="G51" i="2"/>
  <c r="F51" i="2"/>
  <c r="E51" i="2"/>
  <c r="D51" i="2"/>
  <c r="C51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N40" i="2"/>
  <c r="L40" i="2"/>
  <c r="K40" i="2"/>
  <c r="I40" i="2"/>
  <c r="H40" i="2"/>
  <c r="F40" i="2"/>
  <c r="E40" i="2"/>
  <c r="D40" i="2"/>
  <c r="C40" i="2"/>
  <c r="O34" i="2"/>
  <c r="N34" i="2"/>
  <c r="L34" i="2"/>
  <c r="K34" i="2"/>
  <c r="I34" i="2"/>
  <c r="H34" i="2"/>
  <c r="G34" i="2"/>
  <c r="F34" i="2"/>
  <c r="E34" i="2"/>
  <c r="D34" i="2"/>
  <c r="C34" i="2"/>
  <c r="N29" i="2"/>
  <c r="L29" i="2"/>
  <c r="K29" i="2"/>
  <c r="I29" i="2"/>
  <c r="H29" i="2"/>
  <c r="G29" i="2"/>
  <c r="F29" i="2"/>
  <c r="E29" i="2"/>
  <c r="D29" i="2"/>
  <c r="C29" i="2"/>
  <c r="K26" i="2"/>
  <c r="H26" i="2"/>
  <c r="G26" i="2"/>
  <c r="F26" i="2"/>
  <c r="E26" i="2"/>
  <c r="D26" i="2"/>
  <c r="C26" i="2"/>
  <c r="C25" i="2"/>
  <c r="C24" i="2" s="1"/>
  <c r="O24" i="2"/>
  <c r="N24" i="2"/>
  <c r="M24" i="2"/>
  <c r="L24" i="2"/>
  <c r="K24" i="2"/>
  <c r="J24" i="2"/>
  <c r="I24" i="2"/>
  <c r="H24" i="2"/>
  <c r="G24" i="2"/>
  <c r="F24" i="2"/>
  <c r="E24" i="2"/>
  <c r="D24" i="2"/>
  <c r="O21" i="2"/>
  <c r="O27" i="2" s="1"/>
  <c r="O26" i="2" s="1"/>
  <c r="N21" i="2"/>
  <c r="N27" i="2" s="1"/>
  <c r="N26" i="2" s="1"/>
  <c r="M21" i="2"/>
  <c r="M27" i="2" s="1"/>
  <c r="M26" i="2" s="1"/>
  <c r="L21" i="2"/>
  <c r="L27" i="2" s="1"/>
  <c r="L26" i="2" s="1"/>
  <c r="K21" i="2"/>
  <c r="J21" i="2"/>
  <c r="I21" i="2"/>
  <c r="H21" i="2"/>
  <c r="G21" i="2"/>
  <c r="F21" i="2"/>
  <c r="E21" i="2"/>
  <c r="D21" i="2"/>
  <c r="C21" i="2"/>
  <c r="N13" i="2"/>
  <c r="L13" i="2"/>
  <c r="K13" i="2"/>
  <c r="I13" i="2"/>
  <c r="H13" i="2"/>
  <c r="G13" i="2"/>
  <c r="F13" i="2"/>
  <c r="F82" i="2" l="1"/>
  <c r="F144" i="2"/>
  <c r="M220" i="2"/>
  <c r="M219" i="2" s="1"/>
  <c r="M213" i="2"/>
  <c r="O213" i="2"/>
  <c r="M243" i="2"/>
  <c r="O243" i="2"/>
  <c r="O242" i="2" s="1"/>
  <c r="O236" i="2"/>
  <c r="J142" i="2"/>
  <c r="J141" i="2" s="1"/>
  <c r="J135" i="2" s="1"/>
  <c r="G144" i="2"/>
  <c r="K95" i="2"/>
  <c r="H173" i="2"/>
  <c r="F222" i="2"/>
  <c r="L95" i="2"/>
  <c r="J222" i="2"/>
  <c r="J212" i="2" s="1"/>
  <c r="G164" i="2"/>
  <c r="L152" i="2"/>
  <c r="L144" i="2" s="1"/>
  <c r="G173" i="2"/>
  <c r="J202" i="2"/>
  <c r="L245" i="2"/>
  <c r="L67" i="2"/>
  <c r="I120" i="2"/>
  <c r="I119" i="2" s="1"/>
  <c r="I118" i="2" s="1"/>
  <c r="N222" i="2"/>
  <c r="I222" i="2"/>
  <c r="F236" i="2"/>
  <c r="G95" i="2"/>
  <c r="D120" i="2"/>
  <c r="D119" i="2" s="1"/>
  <c r="D118" i="2" s="1"/>
  <c r="G202" i="2"/>
  <c r="J120" i="2"/>
  <c r="J119" i="2" s="1"/>
  <c r="J118" i="2" s="1"/>
  <c r="N245" i="2"/>
  <c r="O72" i="2"/>
  <c r="O11" i="2" s="1"/>
  <c r="G82" i="2"/>
  <c r="F12" i="2"/>
  <c r="N85" i="2"/>
  <c r="N81" i="2" s="1"/>
  <c r="N80" i="2" s="1"/>
  <c r="L164" i="2"/>
  <c r="H245" i="2"/>
  <c r="N103" i="2"/>
  <c r="I12" i="2"/>
  <c r="I164" i="2"/>
  <c r="K173" i="2"/>
  <c r="I213" i="2"/>
  <c r="M245" i="2"/>
  <c r="O82" i="2"/>
  <c r="N120" i="2"/>
  <c r="N119" i="2" s="1"/>
  <c r="N118" i="2" s="1"/>
  <c r="G67" i="2"/>
  <c r="G182" i="2"/>
  <c r="N236" i="2"/>
  <c r="H67" i="2"/>
  <c r="M72" i="2"/>
  <c r="M11" i="2" s="1"/>
  <c r="N95" i="2"/>
  <c r="H164" i="2"/>
  <c r="K212" i="2"/>
  <c r="K8" i="2" s="1"/>
  <c r="E12" i="2"/>
  <c r="K105" i="2"/>
  <c r="E235" i="2"/>
  <c r="E10" i="2" s="1"/>
  <c r="C104" i="2"/>
  <c r="I28" i="2"/>
  <c r="N105" i="2"/>
  <c r="I245" i="2"/>
  <c r="D12" i="2"/>
  <c r="G120" i="2"/>
  <c r="G119" i="2" s="1"/>
  <c r="G118" i="2" s="1"/>
  <c r="I173" i="2"/>
  <c r="L202" i="2"/>
  <c r="F213" i="2"/>
  <c r="E81" i="2"/>
  <c r="E80" i="2" s="1"/>
  <c r="M222" i="2"/>
  <c r="M103" i="2"/>
  <c r="F182" i="2"/>
  <c r="E212" i="2"/>
  <c r="E211" i="2" s="1"/>
  <c r="E210" i="2" s="1"/>
  <c r="K12" i="2"/>
  <c r="H95" i="2"/>
  <c r="I95" i="2"/>
  <c r="K82" i="2"/>
  <c r="K81" i="2" s="1"/>
  <c r="K80" i="2" s="1"/>
  <c r="H213" i="2"/>
  <c r="C235" i="2"/>
  <c r="O245" i="2"/>
  <c r="H144" i="2"/>
  <c r="M164" i="2"/>
  <c r="I235" i="2"/>
  <c r="I10" i="2" s="1"/>
  <c r="I144" i="2"/>
  <c r="C19" i="2"/>
  <c r="C18" i="2" s="1"/>
  <c r="M67" i="2"/>
  <c r="G104" i="2"/>
  <c r="G103" i="2" s="1"/>
  <c r="F120" i="2"/>
  <c r="F119" i="2" s="1"/>
  <c r="F118" i="2" s="1"/>
  <c r="H222" i="2"/>
  <c r="F245" i="2"/>
  <c r="C120" i="2"/>
  <c r="C119" i="2" s="1"/>
  <c r="C118" i="2" s="1"/>
  <c r="H120" i="2"/>
  <c r="H119" i="2" s="1"/>
  <c r="H118" i="2" s="1"/>
  <c r="F202" i="2"/>
  <c r="K235" i="2"/>
  <c r="K10" i="2" s="1"/>
  <c r="N235" i="2"/>
  <c r="N10" i="2" s="1"/>
  <c r="O164" i="2"/>
  <c r="K172" i="2"/>
  <c r="K133" i="2" s="1"/>
  <c r="K132" i="2" s="1"/>
  <c r="N182" i="2"/>
  <c r="N212" i="2"/>
  <c r="F67" i="2"/>
  <c r="L222" i="2"/>
  <c r="J245" i="2"/>
  <c r="C134" i="2"/>
  <c r="C133" i="2" s="1"/>
  <c r="C9" i="2" s="1"/>
  <c r="N135" i="2"/>
  <c r="L182" i="2"/>
  <c r="H12" i="2"/>
  <c r="I85" i="2"/>
  <c r="I82" i="2" s="1"/>
  <c r="H82" i="2"/>
  <c r="D104" i="2"/>
  <c r="F104" i="2"/>
  <c r="F103" i="2" s="1"/>
  <c r="O235" i="2"/>
  <c r="O10" i="2" s="1"/>
  <c r="K182" i="2"/>
  <c r="G222" i="2"/>
  <c r="I236" i="2"/>
  <c r="K236" i="2"/>
  <c r="E19" i="2"/>
  <c r="E18" i="2" s="1"/>
  <c r="F28" i="2"/>
  <c r="K103" i="2"/>
  <c r="G135" i="2"/>
  <c r="F135" i="2"/>
  <c r="D134" i="2"/>
  <c r="N152" i="2"/>
  <c r="N144" i="2" s="1"/>
  <c r="F164" i="2"/>
  <c r="H202" i="2"/>
  <c r="C212" i="2"/>
  <c r="C211" i="2" s="1"/>
  <c r="H105" i="2"/>
  <c r="H104" i="2" s="1"/>
  <c r="H103" i="2" s="1"/>
  <c r="J104" i="2"/>
  <c r="J103" i="2" s="1"/>
  <c r="I104" i="2"/>
  <c r="I103" i="2" s="1"/>
  <c r="D172" i="2"/>
  <c r="D9" i="2" s="1"/>
  <c r="F20" i="2"/>
  <c r="O103" i="2"/>
  <c r="K202" i="2"/>
  <c r="G245" i="2"/>
  <c r="G20" i="2"/>
  <c r="D19" i="2"/>
  <c r="G28" i="2"/>
  <c r="I67" i="2"/>
  <c r="M95" i="2"/>
  <c r="M120" i="2"/>
  <c r="M119" i="2" s="1"/>
  <c r="M118" i="2" s="1"/>
  <c r="H135" i="2"/>
  <c r="I212" i="2"/>
  <c r="H28" i="2"/>
  <c r="K67" i="2"/>
  <c r="J72" i="2"/>
  <c r="J11" i="2" s="1"/>
  <c r="M82" i="2"/>
  <c r="F173" i="2"/>
  <c r="E172" i="2"/>
  <c r="E9" i="2" s="1"/>
  <c r="G213" i="2"/>
  <c r="G12" i="2"/>
  <c r="O120" i="2"/>
  <c r="O119" i="2" s="1"/>
  <c r="O118" i="2" s="1"/>
  <c r="E134" i="2"/>
  <c r="H182" i="2"/>
  <c r="D81" i="2"/>
  <c r="D80" i="2" s="1"/>
  <c r="K28" i="2"/>
  <c r="N28" i="2"/>
  <c r="L85" i="2"/>
  <c r="L82" i="2" s="1"/>
  <c r="C81" i="2"/>
  <c r="C80" i="2" s="1"/>
  <c r="E120" i="2"/>
  <c r="E119" i="2" s="1"/>
  <c r="E118" i="2" s="1"/>
  <c r="K245" i="2"/>
  <c r="H20" i="2"/>
  <c r="L28" i="2"/>
  <c r="N67" i="2"/>
  <c r="D103" i="2"/>
  <c r="I172" i="2"/>
  <c r="I9" i="2" s="1"/>
  <c r="O222" i="2"/>
  <c r="H236" i="2"/>
  <c r="G236" i="2"/>
  <c r="J27" i="2"/>
  <c r="J26" i="2" s="1"/>
  <c r="J20" i="2" s="1"/>
  <c r="O182" i="2"/>
  <c r="J182" i="2"/>
  <c r="M173" i="2"/>
  <c r="M28" i="2"/>
  <c r="O202" i="2"/>
  <c r="M202" i="2"/>
  <c r="M144" i="2"/>
  <c r="M182" i="2"/>
  <c r="J82" i="2"/>
  <c r="J144" i="2"/>
  <c r="J164" i="2"/>
  <c r="J67" i="2"/>
  <c r="O67" i="2"/>
  <c r="J28" i="2"/>
  <c r="O19" i="2"/>
  <c r="O28" i="2"/>
  <c r="L135" i="2"/>
  <c r="O172" i="2"/>
  <c r="O9" i="2" s="1"/>
  <c r="O173" i="2"/>
  <c r="N19" i="2"/>
  <c r="N20" i="2"/>
  <c r="I27" i="2"/>
  <c r="I26" i="2" s="1"/>
  <c r="I20" i="2" s="1"/>
  <c r="I202" i="2"/>
  <c r="L19" i="2"/>
  <c r="O20" i="2"/>
  <c r="I105" i="2"/>
  <c r="O144" i="2"/>
  <c r="L172" i="2"/>
  <c r="L9" i="2" s="1"/>
  <c r="L173" i="2"/>
  <c r="I182" i="2"/>
  <c r="L20" i="2"/>
  <c r="I134" i="2"/>
  <c r="D212" i="2"/>
  <c r="L213" i="2"/>
  <c r="L212" i="2"/>
  <c r="L121" i="2"/>
  <c r="L120" i="2"/>
  <c r="L119" i="2" s="1"/>
  <c r="L118" i="2" s="1"/>
  <c r="O142" i="2"/>
  <c r="O141" i="2" s="1"/>
  <c r="O134" i="2" s="1"/>
  <c r="M20" i="2"/>
  <c r="L105" i="2"/>
  <c r="L104" i="2"/>
  <c r="L103" i="2" s="1"/>
  <c r="E104" i="2"/>
  <c r="E103" i="2"/>
  <c r="J180" i="2"/>
  <c r="J179" i="2" s="1"/>
  <c r="J173" i="2" s="1"/>
  <c r="N180" i="2"/>
  <c r="N179" i="2" s="1"/>
  <c r="N172" i="2" s="1"/>
  <c r="N9" i="2" s="1"/>
  <c r="D235" i="2"/>
  <c r="D10" i="2" s="1"/>
  <c r="L236" i="2"/>
  <c r="L235" i="2"/>
  <c r="L10" i="2" s="1"/>
  <c r="G134" i="2" l="1"/>
  <c r="O212" i="2"/>
  <c r="O8" i="2" s="1"/>
  <c r="H81" i="2"/>
  <c r="H80" i="2" s="1"/>
  <c r="L134" i="2"/>
  <c r="L133" i="2" s="1"/>
  <c r="F212" i="2"/>
  <c r="K19" i="2"/>
  <c r="K18" i="2" s="1"/>
  <c r="K17" i="2" s="1"/>
  <c r="G81" i="2"/>
  <c r="G80" i="2" s="1"/>
  <c r="F235" i="2"/>
  <c r="F10" i="2" s="1"/>
  <c r="N134" i="2"/>
  <c r="N133" i="2" s="1"/>
  <c r="H235" i="2"/>
  <c r="H10" i="2" s="1"/>
  <c r="N82" i="2"/>
  <c r="O18" i="2"/>
  <c r="C132" i="2"/>
  <c r="G172" i="2"/>
  <c r="G9" i="2" s="1"/>
  <c r="K9" i="2"/>
  <c r="M212" i="2"/>
  <c r="H134" i="2"/>
  <c r="F81" i="2"/>
  <c r="N211" i="2"/>
  <c r="N210" i="2" s="1"/>
  <c r="H212" i="2"/>
  <c r="C17" i="2"/>
  <c r="D7" i="2"/>
  <c r="C7" i="2"/>
  <c r="I19" i="2"/>
  <c r="I81" i="2"/>
  <c r="I80" i="2" s="1"/>
  <c r="L211" i="2"/>
  <c r="L210" i="2" s="1"/>
  <c r="F172" i="2"/>
  <c r="F9" i="2" s="1"/>
  <c r="G19" i="2"/>
  <c r="G18" i="2" s="1"/>
  <c r="D133" i="2"/>
  <c r="D132" i="2" s="1"/>
  <c r="F19" i="2"/>
  <c r="F18" i="2" s="1"/>
  <c r="G235" i="2"/>
  <c r="G10" i="2" s="1"/>
  <c r="J172" i="2"/>
  <c r="J9" i="2" s="1"/>
  <c r="I211" i="2"/>
  <c r="I210" i="2" s="1"/>
  <c r="E133" i="2"/>
  <c r="E132" i="2" s="1"/>
  <c r="K211" i="2"/>
  <c r="K210" i="2" s="1"/>
  <c r="L81" i="2"/>
  <c r="L80" i="2" s="1"/>
  <c r="H172" i="2"/>
  <c r="F134" i="2"/>
  <c r="C210" i="2"/>
  <c r="C10" i="2"/>
  <c r="D18" i="2"/>
  <c r="D17" i="2" s="1"/>
  <c r="H19" i="2"/>
  <c r="E8" i="2"/>
  <c r="G212" i="2"/>
  <c r="M81" i="2"/>
  <c r="M80" i="2" s="1"/>
  <c r="J81" i="2"/>
  <c r="J80" i="2" s="1"/>
  <c r="E7" i="2"/>
  <c r="C8" i="2"/>
  <c r="O211" i="2"/>
  <c r="O210" i="2" s="1"/>
  <c r="M172" i="2"/>
  <c r="M9" i="2" s="1"/>
  <c r="M19" i="2"/>
  <c r="O135" i="2"/>
  <c r="J134" i="2"/>
  <c r="J8" i="2" s="1"/>
  <c r="J19" i="2"/>
  <c r="O133" i="2"/>
  <c r="I133" i="2"/>
  <c r="I8" i="2"/>
  <c r="E17" i="2"/>
  <c r="N173" i="2"/>
  <c r="D211" i="2"/>
  <c r="D210" i="2" s="1"/>
  <c r="D8" i="2"/>
  <c r="L18" i="2"/>
  <c r="N18" i="2"/>
  <c r="N17" i="2" s="1"/>
  <c r="N7" i="2"/>
  <c r="J7" i="2" l="1"/>
  <c r="M18" i="2"/>
  <c r="M17" i="2" s="1"/>
  <c r="M16" i="2" s="1"/>
  <c r="M7" i="2"/>
  <c r="F80" i="2"/>
  <c r="F17" i="2" s="1"/>
  <c r="F7" i="2"/>
  <c r="N8" i="2"/>
  <c r="L132" i="2"/>
  <c r="I132" i="2"/>
  <c r="O132" i="2"/>
  <c r="L8" i="2"/>
  <c r="N132" i="2"/>
  <c r="G133" i="2"/>
  <c r="G17" i="2"/>
  <c r="D14" i="2"/>
  <c r="K7" i="2"/>
  <c r="K14" i="2" s="1"/>
  <c r="K16" i="2"/>
  <c r="F211" i="2"/>
  <c r="F210" i="2" s="1"/>
  <c r="H211" i="2"/>
  <c r="H210" i="2" s="1"/>
  <c r="L17" i="2"/>
  <c r="C14" i="2"/>
  <c r="N14" i="2"/>
  <c r="C16" i="2"/>
  <c r="H8" i="2"/>
  <c r="I7" i="2"/>
  <c r="I14" i="2" s="1"/>
  <c r="I18" i="2"/>
  <c r="I17" i="2" s="1"/>
  <c r="G7" i="2"/>
  <c r="D16" i="2"/>
  <c r="G211" i="2"/>
  <c r="G210" i="2" s="1"/>
  <c r="E16" i="2"/>
  <c r="L7" i="2"/>
  <c r="L14" i="2" s="1"/>
  <c r="E14" i="2"/>
  <c r="H7" i="2"/>
  <c r="H18" i="2"/>
  <c r="H17" i="2" s="1"/>
  <c r="G8" i="2"/>
  <c r="C183" i="2"/>
  <c r="C172" i="2" s="1"/>
  <c r="C190" i="2"/>
  <c r="H9" i="2"/>
  <c r="H133" i="2"/>
  <c r="F133" i="2"/>
  <c r="F8" i="2"/>
  <c r="J133" i="2"/>
  <c r="J18" i="2"/>
  <c r="J17" i="2" s="1"/>
  <c r="N16" i="2" l="1"/>
  <c r="G132" i="2"/>
  <c r="J132" i="2"/>
  <c r="F132" i="2"/>
  <c r="F16" i="2" s="1"/>
  <c r="L16" i="2"/>
  <c r="I16" i="2"/>
  <c r="H132" i="2"/>
  <c r="G14" i="2"/>
  <c r="F14" i="2"/>
  <c r="R8" i="2"/>
  <c r="R10" i="2" s="1"/>
  <c r="H14" i="2"/>
  <c r="M141" i="2"/>
  <c r="M135" i="2" s="1"/>
  <c r="M134" i="2" s="1"/>
  <c r="M8" i="2" s="1"/>
  <c r="G16" i="2" l="1"/>
  <c r="H16" i="2"/>
  <c r="M133" i="2"/>
  <c r="M132" i="2" l="1"/>
  <c r="T8" i="2"/>
  <c r="T10" i="2" s="1"/>
  <c r="O95" i="2"/>
  <c r="O81" i="2" s="1"/>
  <c r="O7" i="2" s="1"/>
  <c r="O80" i="2" l="1"/>
  <c r="O17" i="2" s="1"/>
  <c r="O16" i="2" s="1"/>
  <c r="V8" i="2"/>
  <c r="V10" i="2" s="1"/>
  <c r="M242" i="2" l="1"/>
  <c r="M236" i="2" l="1"/>
  <c r="M235" i="2" s="1"/>
  <c r="J242" i="2"/>
  <c r="J236" i="2" s="1"/>
  <c r="J235" i="2" s="1"/>
  <c r="J10" i="2" s="1"/>
  <c r="M10" i="2" l="1"/>
  <c r="M211" i="2"/>
  <c r="M210" i="2" s="1"/>
  <c r="J211" i="2"/>
  <c r="J210" i="2" s="1"/>
  <c r="J16" i="2" s="1"/>
  <c r="M14" i="2"/>
  <c r="J14" i="2" l="1"/>
  <c r="O14" i="2"/>
  <c r="J92" i="3"/>
  <c r="J91" i="3" l="1"/>
  <c r="J86" i="3" l="1"/>
  <c r="J14" i="3"/>
</calcChain>
</file>

<file path=xl/sharedStrings.xml><?xml version="1.0" encoding="utf-8"?>
<sst xmlns="http://schemas.openxmlformats.org/spreadsheetml/2006/main" count="1146" uniqueCount="205">
  <si>
    <t/>
  </si>
  <si>
    <t>Izvršenje  na dan 31.12.2018.</t>
  </si>
  <si>
    <t>HRK</t>
  </si>
  <si>
    <t>06030</t>
  </si>
  <si>
    <t>AGENCIJA ZA PLAĆANJA U POLJOPRIVREDI, RIBARSTVU I RURALNOM RAZVOJU</t>
  </si>
  <si>
    <t>11</t>
  </si>
  <si>
    <t>Opći prihodi i primici</t>
  </si>
  <si>
    <t>31</t>
  </si>
  <si>
    <t>Vlastiti prihodi</t>
  </si>
  <si>
    <t>51</t>
  </si>
  <si>
    <t>Pomoći EU</t>
  </si>
  <si>
    <t>Kontrola zbroja</t>
  </si>
  <si>
    <t>06005</t>
  </si>
  <si>
    <t>Ministarstvo poljoprivrede</t>
  </si>
  <si>
    <t>Agencija za plaćanja u poljoprivredi, ribarstvu i ruralnom razvoju</t>
  </si>
  <si>
    <t>3001</t>
  </si>
  <si>
    <t>UPRAVLJANJE POLJOPRIVREDOM, RIBARSTVOM I RURALNIM RAZVOJEM</t>
  </si>
  <si>
    <t>A841001</t>
  </si>
  <si>
    <t>ADMINISTRACIJA I UPRAVLJANJE AGENCIJE ZA PLAĆANJA U POLJOPRI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</si>
  <si>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</si>
  <si>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</si>
  <si>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</si>
  <si>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</si>
  <si>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</si>
  <si>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</si>
  <si>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</si>
  <si>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</si>
  <si>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</si>
  <si>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</si>
  <si>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</si>
  <si>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</si>
  <si>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</si>
  <si>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</si>
  <si>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321</t>
  </si>
  <si>
    <t>Naknade troškova zaposlenima</t>
  </si>
  <si>
    <t>3211</t>
  </si>
  <si>
    <t>Službena putovanja</t>
  </si>
  <si>
    <t>3212</t>
  </si>
  <si>
    <t>Naknade za prijevoz, za rad na terenu i odvojeni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</si>
  <si>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</si>
  <si>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</si>
  <si>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</si>
  <si>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</si>
  <si>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</si>
  <si>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</si>
  <si>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</si>
  <si>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</si>
  <si>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</si>
  <si>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</si>
  <si>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</si>
  <si>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</si>
  <si>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</si>
  <si>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</si>
  <si>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</si>
  <si>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</si>
  <si>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</si>
  <si>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</si>
  <si>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</si>
  <si>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</si>
  <si>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</si>
  <si>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</si>
  <si>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</si>
  <si>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</si>
  <si>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</si>
  <si>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</si>
  <si>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</si>
  <si>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</si>
  <si>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</si>
  <si>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</si>
  <si>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</si>
  <si>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</si>
  <si>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</si>
  <si>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</si>
  <si>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</si>
  <si>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</si>
  <si>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</si>
  <si>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</si>
  <si>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</si>
  <si>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</si>
  <si>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predstavn.i izvršnih tijela, povje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</si>
  <si>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</si>
  <si>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</si>
  <si>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</si>
  <si>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</si>
  <si>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</si>
  <si>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</si>
  <si>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</si>
  <si>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</si>
  <si>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</si>
  <si>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</si>
  <si>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</si>
  <si>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</si>
  <si>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</si>
  <si>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</si>
  <si>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</si>
  <si>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</si>
  <si>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</si>
  <si>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</si>
  <si>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</si>
  <si>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372</t>
  </si>
  <si>
    <t>Ostale naknade građ.i kućan.iz proračuna</t>
  </si>
  <si>
    <t>3721</t>
  </si>
  <si>
    <t>Naknade građanima i kućanstvima u novcu</t>
  </si>
  <si>
    <t>422</t>
  </si>
  <si>
    <t>Postrojenja i oprema</t>
  </si>
  <si>
    <t>4221</t>
  </si>
  <si>
    <t>Uredska oprema i namještaj</t>
  </si>
  <si>
    <t>423</t>
  </si>
  <si>
    <t>Prijevozna sredstva</t>
  </si>
  <si>
    <t>Prijevozna sredstva u cestovnom prometu</t>
  </si>
  <si>
    <t>3222</t>
  </si>
  <si>
    <t>Materijal i sirovine</t>
  </si>
  <si>
    <t>K841002</t>
  </si>
  <si>
    <t>INFORMATIZACIJA</t>
  </si>
  <si>
    <t>3238</t>
  </si>
  <si>
    <t>Računalne usluge</t>
  </si>
  <si>
    <t>412</t>
  </si>
  <si>
    <t>Nematerijalna imovina</t>
  </si>
  <si>
    <t>4123</t>
  </si>
  <si>
    <t>Licence</t>
  </si>
  <si>
    <t>4222</t>
  </si>
  <si>
    <t>Komunikacijska oprema</t>
  </si>
  <si>
    <t>Oprema za održavanje i zaštitu</t>
  </si>
  <si>
    <t>426</t>
  </si>
  <si>
    <t>Nemat. proizvedena imovina</t>
  </si>
  <si>
    <t>4262</t>
  </si>
  <si>
    <t>Ulag.u račun. programe</t>
  </si>
  <si>
    <t>A841007</t>
  </si>
  <si>
    <t>ORGANIZACIJA MEĐUNARODNIH DOGAĐANJA</t>
  </si>
  <si>
    <t>3002</t>
  </si>
  <si>
    <t>K650068</t>
  </si>
  <si>
    <t>3004</t>
  </si>
  <si>
    <t>A841005</t>
  </si>
  <si>
    <t>3005</t>
  </si>
  <si>
    <t>A841006</t>
  </si>
  <si>
    <t>POLJOPRIVREDA</t>
  </si>
  <si>
    <t>USPOSTAVA IACS-LPIS</t>
  </si>
  <si>
    <t>Instrumenti, uređaji i strojevi</t>
  </si>
  <si>
    <t>RURALNI RAZVOJ</t>
  </si>
  <si>
    <t>TEHNIČKA POMOĆ - PROGRAM RURALNOG RAZVOJA</t>
  </si>
  <si>
    <t>Doprinosi za obvezno osiguranje u slučaju nezaposlenosti</t>
  </si>
  <si>
    <t>Instrumenti, uređaji, strojevi</t>
  </si>
  <si>
    <t>RIBARSTVO</t>
  </si>
  <si>
    <t>TEHNIČKA POMOĆ -OPERATIVNI PROGRAM U POMORSTVU I RIBARSTVU</t>
  </si>
  <si>
    <t>EAFRD</t>
  </si>
  <si>
    <t>EFPR</t>
  </si>
  <si>
    <t>4231</t>
  </si>
  <si>
    <t>4225</t>
  </si>
  <si>
    <t>Proračun 2019</t>
  </si>
  <si>
    <t>565</t>
  </si>
  <si>
    <t>12</t>
  </si>
  <si>
    <t xml:space="preserve">Sredstva učešća za pomoći </t>
  </si>
  <si>
    <t>564</t>
  </si>
  <si>
    <t>Izvršenje  na dan 09.05.2019.</t>
  </si>
  <si>
    <t>2022.g.</t>
  </si>
  <si>
    <t>32</t>
  </si>
  <si>
    <t>37</t>
  </si>
  <si>
    <t>42</t>
  </si>
  <si>
    <t>41</t>
  </si>
  <si>
    <t>34</t>
  </si>
  <si>
    <t>Tekući plan</t>
  </si>
  <si>
    <t>Izvršenje 2019</t>
  </si>
  <si>
    <t>Zahtjev PK 2020</t>
  </si>
  <si>
    <t>Tekući plan 2020</t>
  </si>
  <si>
    <t>Materijalni rashodi</t>
  </si>
  <si>
    <t>Rashodi za zaposlene</t>
  </si>
  <si>
    <t>Financijski rashodi</t>
  </si>
  <si>
    <t>Rashodi za nabavu proiz. dugotrajne imovine</t>
  </si>
  <si>
    <t>Doprinosi za obvezno zdravstveno osiguranje (16,5%)</t>
  </si>
  <si>
    <t>Plan 2021</t>
  </si>
  <si>
    <t>Plan 2022</t>
  </si>
  <si>
    <t>Tekući plan 2021</t>
  </si>
  <si>
    <t>Zahtjev PK 2021</t>
  </si>
  <si>
    <t>Zahtjev PK 2022</t>
  </si>
  <si>
    <t>razlika</t>
  </si>
  <si>
    <t>559</t>
  </si>
  <si>
    <t>Ostale refundacije iz sredstava EU</t>
  </si>
  <si>
    <t>2020.g.</t>
  </si>
  <si>
    <t>2021.g</t>
  </si>
  <si>
    <t>2023.g.</t>
  </si>
  <si>
    <t>Plan 2023</t>
  </si>
  <si>
    <t>Naknada troškova zaposlenima</t>
  </si>
  <si>
    <t>Usluge pošte, telefona, prijevoza</t>
  </si>
  <si>
    <t>Ostale pomoći darovnice</t>
  </si>
  <si>
    <t>52</t>
  </si>
  <si>
    <t>Naknada tzroškova zaposlenima</t>
  </si>
  <si>
    <t>2021.g.</t>
  </si>
  <si>
    <t>2022.g</t>
  </si>
  <si>
    <t>2024.g.</t>
  </si>
  <si>
    <t>Plan 2024</t>
  </si>
  <si>
    <t>38</t>
  </si>
  <si>
    <t>Ostali rashodi</t>
  </si>
  <si>
    <t>3833</t>
  </si>
  <si>
    <t>Naknada štete zaposlenicima</t>
  </si>
  <si>
    <t>Izvršenje 2021 07.09.2021</t>
  </si>
  <si>
    <t>T841008</t>
  </si>
  <si>
    <t>HRVATSKI INFORMACIJSKI ZEMLJIŠNI SUSTAV - CROLIS</t>
  </si>
  <si>
    <t>Doprinos za obvezno osiguranje u slučaju nezaposlenosti</t>
  </si>
  <si>
    <t>383</t>
  </si>
  <si>
    <t>Kazne, penali, naknade štete</t>
  </si>
  <si>
    <t>3835</t>
  </si>
  <si>
    <t>Ostale kazne</t>
  </si>
  <si>
    <t>4223</t>
  </si>
  <si>
    <t>Rashodi za nabavu neproizvedene dugotrajne imovine</t>
  </si>
  <si>
    <t>Proračun Agencije za plaćanja u poljoprivredi, ribarstvu i ruralnom razvoju za 2022.g. i projekcije za 2023. i 2024.godinu (NN 140/2021)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</si>
</sst>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</font>
    <font>
      <b/>
      <sz val="8"/>
      <color indexed="8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color rgb="FFC00000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sz val="8"/>
      <color rgb="FF002060"/>
      <name val="Arial"/>
      <family val="2"/>
      <charset val="238"/>
    </font>
    <font>
      <b/>
      <sz val="8"/>
      <color rgb="FF002060"/>
      <name val="Arial"/>
      <family val="2"/>
      <charset val="238"/>
    </font>
    <font>
      <b/>
      <i/>
      <sz val="8"/>
      <color rgb="FF00206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</borders>
  <cellStyleXfs count="9">
    <xf numFmtId="0" fontId="0" fillId="0" borderId="0"/>
    <xf numFmtId="4" fontId="1" fillId="2" borderId="1" applyNumberFormat="0" applyProtection="0">
      <alignment horizontal="left" vertical="center" indent="1" justifyLastLine="1"/>
    </xf>
    <xf numFmtId="0" fontId="1" fillId="4" borderId="1" applyNumberFormat="0" applyProtection="0">
      <alignment horizontal="left" vertical="center" indent="1" justifyLastLine="1"/>
    </xf>
    <xf numFmtId="0" fontId="1" fillId="7" borderId="1" applyNumberFormat="0" applyProtection="0">
      <alignment horizontal="left" vertical="center" indent="1" justifyLastLine="1"/>
    </xf>
    <xf numFmtId="0" fontId="1" fillId="9" borderId="1" applyNumberFormat="0" applyProtection="0">
      <alignment horizontal="left" vertical="center" indent="1" justifyLastLine="1"/>
    </xf>
    <xf numFmtId="0" fontId="1" fillId="11" borderId="1" applyNumberFormat="0" applyProtection="0">
      <alignment horizontal="left" vertical="center" indent="1" justifyLastLine="1"/>
    </xf>
    <xf numFmtId="4" fontId="1" fillId="14" borderId="1" applyNumberFormat="0" applyProtection="0">
      <alignment vertical="center"/>
    </xf>
    <xf numFmtId="4" fontId="1" fillId="2" borderId="1" applyNumberFormat="0" applyProtection="0">
      <alignment horizontal="left" vertical="center" indent="1" justifyLastLine="1"/>
    </xf>
    <xf numFmtId="4" fontId="1" fillId="15" borderId="1" applyNumberFormat="0" applyProtection="0">
      <alignment horizontal="right" vertical="center"/>
    </xf>
  </cellStyleXfs>
  <cellXfs count="451">
    <xf numFmtId="0" fontId="0" fillId="0" borderId="0" xfId="0"/>
    <xf numFmtId="0" fontId="1" fillId="3" borderId="2" xfId="1" quotePrefix="1" applyNumberFormat="1" applyFill="1" applyBorder="1">
      <alignment horizontal="left" vertical="center" indent="1" justifyLastLine="1"/>
    </xf>
    <xf numFmtId="164" fontId="2" fillId="5" borderId="4" xfId="2" quotePrefix="1" applyNumberFormat="1" applyFont="1" applyFill="1" applyBorder="1" applyAlignment="1">
      <alignment horizontal="left" vertical="center" indent="2" justifyLastLine="1"/>
    </xf>
    <xf numFmtId="164" fontId="2" fillId="6" borderId="5" xfId="2" quotePrefix="1" applyNumberFormat="1" applyFont="1" applyFill="1" applyBorder="1" applyAlignment="1">
      <alignment horizontal="left" vertical="center" indent="2" justifyLastLine="1"/>
    </xf>
    <xf numFmtId="164" fontId="3" fillId="0" borderId="2" xfId="3" quotePrefix="1" applyNumberFormat="1" applyFont="1" applyFill="1" applyBorder="1" applyAlignment="1">
      <alignment horizontal="left" vertical="center" indent="3" justifyLastLine="1"/>
    </xf>
    <xf numFmtId="164" fontId="3" fillId="8" borderId="2" xfId="3" quotePrefix="1" applyNumberFormat="1" applyFont="1" applyFill="1" applyBorder="1" applyAlignment="1">
      <alignment horizontal="left" vertical="center" indent="3" justifyLastLine="1"/>
    </xf>
    <xf numFmtId="164" fontId="3" fillId="10" borderId="6" xfId="4" quotePrefix="1" applyNumberFormat="1" applyFont="1" applyFill="1" applyBorder="1" applyAlignment="1">
      <alignment horizontal="left" vertical="center" indent="4" justifyLastLine="1"/>
    </xf>
    <xf numFmtId="164" fontId="1" fillId="12" borderId="3" xfId="5" quotePrefix="1" applyNumberFormat="1" applyFill="1" applyBorder="1" applyAlignment="1">
      <alignment horizontal="left" vertical="center" indent="5" justifyLastLine="1"/>
    </xf>
    <xf numFmtId="164" fontId="1" fillId="5" borderId="4" xfId="5" quotePrefix="1" applyNumberFormat="1" applyFill="1" applyBorder="1" applyAlignment="1">
      <alignment horizontal="left" vertical="center" indent="6" justifyLastLine="1"/>
    </xf>
    <xf numFmtId="164" fontId="1" fillId="13" borderId="4" xfId="5" quotePrefix="1" applyNumberFormat="1" applyFill="1" applyBorder="1" applyAlignment="1">
      <alignment horizontal="left" vertical="center" indent="7" justifyLastLine="1"/>
    </xf>
    <xf numFmtId="0" fontId="1" fillId="3" borderId="4" xfId="5" quotePrefix="1" applyFill="1" applyBorder="1" applyAlignment="1">
      <alignment horizontal="left" vertical="center" indent="8" justifyLastLine="1"/>
    </xf>
    <xf numFmtId="0" fontId="1" fillId="3" borderId="5" xfId="5" quotePrefix="1" applyFill="1" applyBorder="1" applyAlignment="1">
      <alignment horizontal="left" vertical="center" indent="8" justifyLastLine="1"/>
    </xf>
    <xf numFmtId="0" fontId="4" fillId="3" borderId="4" xfId="5" quotePrefix="1" applyFont="1" applyFill="1" applyBorder="1" applyAlignment="1">
      <alignment horizontal="left" vertical="center" indent="8" justifyLastLine="1"/>
    </xf>
    <xf numFmtId="0" fontId="1" fillId="3" borderId="7" xfId="5" quotePrefix="1" applyFill="1" applyBorder="1" applyAlignment="1">
      <alignment horizontal="left" vertical="center" indent="8" justifyLastLine="1"/>
    </xf>
    <xf numFmtId="164" fontId="3" fillId="10" borderId="2" xfId="4" quotePrefix="1" applyNumberFormat="1" applyFont="1" applyFill="1" applyBorder="1" applyAlignment="1">
      <alignment horizontal="left" vertical="center" indent="4" justifyLastLine="1"/>
    </xf>
    <xf numFmtId="164" fontId="4" fillId="12" borderId="3" xfId="5" quotePrefix="1" applyNumberFormat="1" applyFont="1" applyFill="1" applyBorder="1" applyAlignment="1">
      <alignment horizontal="left" vertical="center" indent="5" justifyLastLine="1"/>
    </xf>
    <xf numFmtId="164" fontId="1" fillId="11" borderId="4" xfId="5" quotePrefix="1" applyNumberFormat="1" applyBorder="1" applyAlignment="1">
      <alignment horizontal="left" vertical="center" indent="7" justifyLastLine="1"/>
    </xf>
    <xf numFmtId="0" fontId="1" fillId="11" borderId="4" xfId="5" quotePrefix="1" applyBorder="1" applyAlignment="1">
      <alignment horizontal="left" vertical="center" indent="8" justifyLastLine="1"/>
    </xf>
    <xf numFmtId="0" fontId="1" fillId="11" borderId="7" xfId="5" quotePrefix="1" applyBorder="1" applyAlignment="1">
      <alignment horizontal="left" vertical="center" indent="8" justifyLastLine="1"/>
    </xf>
    <xf numFmtId="164" fontId="4" fillId="12" borderId="10" xfId="5" quotePrefix="1" applyNumberFormat="1" applyFont="1" applyFill="1" applyBorder="1" applyAlignment="1">
      <alignment horizontal="left" vertical="center" indent="5" justifyLastLine="1"/>
    </xf>
    <xf numFmtId="164" fontId="1" fillId="5" borderId="11" xfId="5" quotePrefix="1" applyNumberFormat="1" applyFill="1" applyBorder="1" applyAlignment="1">
      <alignment horizontal="left" vertical="center" indent="6" justifyLastLine="1"/>
    </xf>
    <xf numFmtId="164" fontId="1" fillId="11" borderId="11" xfId="5" quotePrefix="1" applyNumberFormat="1" applyBorder="1" applyAlignment="1">
      <alignment horizontal="left" vertical="center" indent="7" justifyLastLine="1"/>
    </xf>
    <xf numFmtId="0" fontId="1" fillId="11" borderId="11" xfId="5" quotePrefix="1" applyBorder="1" applyAlignment="1">
      <alignment horizontal="left" vertical="center" indent="8" justifyLastLine="1"/>
    </xf>
    <xf numFmtId="0" fontId="0" fillId="0" borderId="17" xfId="0" applyBorder="1"/>
    <xf numFmtId="4" fontId="9" fillId="10" borderId="2" xfId="0" applyNumberFormat="1" applyFont="1" applyFill="1" applyBorder="1" applyAlignment="1">
      <alignment vertical="center"/>
    </xf>
    <xf numFmtId="4" fontId="8" fillId="12" borderId="3" xfId="0" applyNumberFormat="1" applyFont="1" applyFill="1" applyBorder="1" applyAlignment="1">
      <alignment vertical="center"/>
    </xf>
    <xf numFmtId="4" fontId="8" fillId="5" borderId="4" xfId="0" applyNumberFormat="1" applyFont="1" applyFill="1" applyBorder="1" applyAlignment="1">
      <alignment vertical="center"/>
    </xf>
    <xf numFmtId="4" fontId="8" fillId="13" borderId="4" xfId="0" applyNumberFormat="1" applyFont="1" applyFill="1" applyBorder="1" applyAlignment="1">
      <alignment vertical="center"/>
    </xf>
    <xf numFmtId="4" fontId="8" fillId="17" borderId="4" xfId="0" applyNumberFormat="1" applyFont="1" applyFill="1" applyBorder="1" applyAlignment="1">
      <alignment vertical="center"/>
    </xf>
    <xf numFmtId="4" fontId="8" fillId="0" borderId="4" xfId="0" applyNumberFormat="1" applyFont="1" applyBorder="1"/>
    <xf numFmtId="4" fontId="8" fillId="0" borderId="5" xfId="0" applyNumberFormat="1" applyFont="1" applyBorder="1"/>
    <xf numFmtId="164" fontId="3" fillId="10" borderId="18" xfId="4" quotePrefix="1" applyNumberFormat="1" applyFont="1" applyFill="1" applyBorder="1" applyAlignment="1">
      <alignment horizontal="left" vertical="center" indent="4" justifyLastLine="1"/>
    </xf>
    <xf numFmtId="4" fontId="9" fillId="10" borderId="18" xfId="0" applyNumberFormat="1" applyFont="1" applyFill="1" applyBorder="1" applyAlignment="1">
      <alignment vertical="center"/>
    </xf>
    <xf numFmtId="4" fontId="8" fillId="12" borderId="22" xfId="0" applyNumberFormat="1" applyFont="1" applyFill="1" applyBorder="1" applyAlignment="1">
      <alignment vertical="center"/>
    </xf>
    <xf numFmtId="4" fontId="8" fillId="5" borderId="23" xfId="0" applyNumberFormat="1" applyFont="1" applyFill="1" applyBorder="1" applyAlignment="1">
      <alignment vertical="center"/>
    </xf>
    <xf numFmtId="4" fontId="8" fillId="13" borderId="23" xfId="0" applyNumberFormat="1" applyFont="1" applyFill="1" applyBorder="1" applyAlignment="1">
      <alignment vertical="center"/>
    </xf>
    <xf numFmtId="4" fontId="8" fillId="0" borderId="23" xfId="0" applyNumberFormat="1" applyFont="1" applyBorder="1"/>
    <xf numFmtId="4" fontId="8" fillId="0" borderId="21" xfId="0" applyNumberFormat="1" applyFont="1" applyBorder="1"/>
    <xf numFmtId="4" fontId="8" fillId="12" borderId="24" xfId="0" applyNumberFormat="1" applyFont="1" applyFill="1" applyBorder="1" applyAlignment="1">
      <alignment vertical="center"/>
    </xf>
    <xf numFmtId="4" fontId="8" fillId="5" borderId="25" xfId="0" applyNumberFormat="1" applyFont="1" applyFill="1" applyBorder="1" applyAlignment="1">
      <alignment vertical="center"/>
    </xf>
    <xf numFmtId="4" fontId="8" fillId="13" borderId="25" xfId="0" applyNumberFormat="1" applyFont="1" applyFill="1" applyBorder="1" applyAlignment="1">
      <alignment vertical="center"/>
    </xf>
    <xf numFmtId="4" fontId="8" fillId="0" borderId="25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vertical="center"/>
    </xf>
    <xf numFmtId="0" fontId="1" fillId="11" borderId="5" xfId="5" quotePrefix="1" applyBorder="1" applyAlignment="1">
      <alignment horizontal="left" vertical="center" indent="8" justifyLastLine="1"/>
    </xf>
    <xf numFmtId="164" fontId="1" fillId="11" borderId="28" xfId="5" quotePrefix="1" applyNumberFormat="1" applyBorder="1" applyAlignment="1">
      <alignment horizontal="left" vertical="center" indent="7" justifyLastLine="1"/>
    </xf>
    <xf numFmtId="164" fontId="1" fillId="5" borderId="2" xfId="5" quotePrefix="1" applyNumberFormat="1" applyFill="1" applyBorder="1" applyAlignment="1">
      <alignment horizontal="left" vertical="center" indent="6" justifyLastLine="1"/>
    </xf>
    <xf numFmtId="0" fontId="5" fillId="0" borderId="29" xfId="0" applyFont="1" applyBorder="1" applyAlignment="1">
      <alignment horizontal="center" wrapText="1"/>
    </xf>
    <xf numFmtId="3" fontId="3" fillId="3" borderId="29" xfId="8" quotePrefix="1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/>
    <xf numFmtId="0" fontId="0" fillId="0" borderId="29" xfId="0" applyBorder="1"/>
    <xf numFmtId="4" fontId="10" fillId="8" borderId="29" xfId="0" applyNumberFormat="1" applyFont="1" applyFill="1" applyBorder="1" applyAlignment="1">
      <alignment vertical="center"/>
    </xf>
    <xf numFmtId="0" fontId="12" fillId="0" borderId="29" xfId="0" applyFont="1" applyBorder="1"/>
    <xf numFmtId="164" fontId="1" fillId="18" borderId="4" xfId="5" quotePrefix="1" applyNumberFormat="1" applyFill="1" applyBorder="1" applyAlignment="1">
      <alignment horizontal="left" vertical="center" indent="6" justifyLastLine="1"/>
    </xf>
    <xf numFmtId="4" fontId="8" fillId="18" borderId="4" xfId="0" applyNumberFormat="1" applyFont="1" applyFill="1" applyBorder="1" applyAlignment="1">
      <alignment vertical="center"/>
    </xf>
    <xf numFmtId="4" fontId="8" fillId="18" borderId="4" xfId="0" applyNumberFormat="1" applyFont="1" applyFill="1" applyBorder="1"/>
    <xf numFmtId="4" fontId="11" fillId="0" borderId="4" xfId="0" applyNumberFormat="1" applyFont="1" applyBorder="1"/>
    <xf numFmtId="4" fontId="8" fillId="18" borderId="25" xfId="0" applyNumberFormat="1" applyFont="1" applyFill="1" applyBorder="1" applyAlignment="1">
      <alignment vertical="center"/>
    </xf>
    <xf numFmtId="4" fontId="8" fillId="18" borderId="23" xfId="0" applyNumberFormat="1" applyFont="1" applyFill="1" applyBorder="1" applyAlignment="1">
      <alignment vertical="center"/>
    </xf>
    <xf numFmtId="4" fontId="8" fillId="0" borderId="15" xfId="0" applyNumberFormat="1" applyFont="1" applyBorder="1"/>
    <xf numFmtId="4" fontId="8" fillId="0" borderId="34" xfId="0" applyNumberFormat="1" applyFont="1" applyBorder="1"/>
    <xf numFmtId="4" fontId="8" fillId="0" borderId="25" xfId="0" applyNumberFormat="1" applyFont="1" applyBorder="1"/>
    <xf numFmtId="4" fontId="8" fillId="0" borderId="26" xfId="0" applyNumberFormat="1" applyFont="1" applyBorder="1"/>
    <xf numFmtId="4" fontId="8" fillId="0" borderId="27" xfId="0" applyNumberFormat="1" applyFont="1" applyBorder="1"/>
    <xf numFmtId="4" fontId="11" fillId="0" borderId="23" xfId="0" applyNumberFormat="1" applyFont="1" applyBorder="1"/>
    <xf numFmtId="4" fontId="11" fillId="12" borderId="24" xfId="6" applyNumberFormat="1" applyFont="1" applyFill="1" applyBorder="1" applyAlignment="1">
      <alignment vertical="center"/>
    </xf>
    <xf numFmtId="4" fontId="11" fillId="5" borderId="25" xfId="6" applyNumberFormat="1" applyFont="1" applyFill="1" applyBorder="1" applyAlignment="1">
      <alignment vertical="center"/>
    </xf>
    <xf numFmtId="4" fontId="11" fillId="18" borderId="25" xfId="6" applyNumberFormat="1" applyFont="1" applyFill="1" applyBorder="1" applyAlignment="1">
      <alignment vertical="center"/>
    </xf>
    <xf numFmtId="4" fontId="8" fillId="18" borderId="25" xfId="0" applyNumberFormat="1" applyFont="1" applyFill="1" applyBorder="1"/>
    <xf numFmtId="4" fontId="11" fillId="0" borderId="25" xfId="0" applyNumberFormat="1" applyFont="1" applyBorder="1"/>
    <xf numFmtId="4" fontId="8" fillId="3" borderId="25" xfId="0" applyNumberFormat="1" applyFont="1" applyFill="1" applyBorder="1" applyAlignment="1">
      <alignment vertical="center"/>
    </xf>
    <xf numFmtId="164" fontId="1" fillId="18" borderId="11" xfId="5" quotePrefix="1" applyNumberFormat="1" applyFill="1" applyBorder="1" applyAlignment="1">
      <alignment horizontal="left" vertical="center" indent="6" justifyLastLine="1"/>
    </xf>
    <xf numFmtId="0" fontId="1" fillId="18" borderId="11" xfId="5" quotePrefix="1" applyFill="1" applyBorder="1" applyAlignment="1">
      <alignment horizontal="left" vertical="center" indent="8" justifyLastLine="1"/>
    </xf>
    <xf numFmtId="164" fontId="1" fillId="18" borderId="4" xfId="5" quotePrefix="1" applyNumberFormat="1" applyFill="1" applyBorder="1" applyAlignment="1">
      <alignment horizontal="left" vertical="center" indent="7" justifyLastLine="1"/>
    </xf>
    <xf numFmtId="164" fontId="11" fillId="18" borderId="11" xfId="5" quotePrefix="1" applyNumberFormat="1" applyFont="1" applyFill="1" applyBorder="1" applyAlignment="1">
      <alignment horizontal="left" vertical="center" indent="6" justifyLastLine="1"/>
    </xf>
    <xf numFmtId="0" fontId="0" fillId="6" borderId="0" xfId="0" applyFill="1"/>
    <xf numFmtId="0" fontId="0" fillId="0" borderId="0" xfId="0" applyFill="1"/>
    <xf numFmtId="4" fontId="9" fillId="10" borderId="29" xfId="0" applyNumberFormat="1" applyFont="1" applyFill="1" applyBorder="1" applyAlignment="1">
      <alignment vertical="center"/>
    </xf>
    <xf numFmtId="4" fontId="10" fillId="8" borderId="30" xfId="0" applyNumberFormat="1" applyFont="1" applyFill="1" applyBorder="1" applyAlignment="1">
      <alignment vertical="center"/>
    </xf>
    <xf numFmtId="4" fontId="9" fillId="10" borderId="35" xfId="0" applyNumberFormat="1" applyFont="1" applyFill="1" applyBorder="1" applyAlignment="1">
      <alignment vertical="center"/>
    </xf>
    <xf numFmtId="4" fontId="8" fillId="18" borderId="23" xfId="0" applyNumberFormat="1" applyFont="1" applyFill="1" applyBorder="1"/>
    <xf numFmtId="4" fontId="8" fillId="17" borderId="23" xfId="0" applyNumberFormat="1" applyFont="1" applyFill="1" applyBorder="1" applyAlignment="1">
      <alignment vertical="center"/>
    </xf>
    <xf numFmtId="4" fontId="8" fillId="17" borderId="25" xfId="0" applyNumberFormat="1" applyFont="1" applyFill="1" applyBorder="1" applyAlignment="1">
      <alignment vertical="center"/>
    </xf>
    <xf numFmtId="4" fontId="8" fillId="0" borderId="37" xfId="0" applyNumberFormat="1" applyFont="1" applyBorder="1"/>
    <xf numFmtId="4" fontId="8" fillId="13" borderId="36" xfId="0" applyNumberFormat="1" applyFont="1" applyFill="1" applyBorder="1" applyAlignment="1">
      <alignment vertical="center"/>
    </xf>
    <xf numFmtId="4" fontId="8" fillId="0" borderId="36" xfId="0" applyNumberFormat="1" applyFont="1" applyBorder="1"/>
    <xf numFmtId="4" fontId="8" fillId="12" borderId="38" xfId="0" applyNumberFormat="1" applyFont="1" applyFill="1" applyBorder="1" applyAlignment="1">
      <alignment vertical="center"/>
    </xf>
    <xf numFmtId="4" fontId="8" fillId="5" borderId="36" xfId="0" applyNumberFormat="1" applyFont="1" applyFill="1" applyBorder="1" applyAlignment="1">
      <alignment vertical="center"/>
    </xf>
    <xf numFmtId="4" fontId="8" fillId="18" borderId="36" xfId="0" applyNumberFormat="1" applyFont="1" applyFill="1" applyBorder="1" applyAlignment="1">
      <alignment vertical="center"/>
    </xf>
    <xf numFmtId="4" fontId="9" fillId="10" borderId="20" xfId="0" applyNumberFormat="1" applyFont="1" applyFill="1" applyBorder="1" applyAlignment="1">
      <alignment vertical="center"/>
    </xf>
    <xf numFmtId="4" fontId="3" fillId="10" borderId="35" xfId="6" applyNumberFormat="1" applyFont="1" applyFill="1" applyBorder="1" applyAlignment="1">
      <alignment vertical="center"/>
    </xf>
    <xf numFmtId="4" fontId="11" fillId="12" borderId="32" xfId="6" applyNumberFormat="1" applyFont="1" applyFill="1" applyBorder="1" applyAlignment="1">
      <alignment vertical="center"/>
    </xf>
    <xf numFmtId="4" fontId="11" fillId="5" borderId="31" xfId="6" applyNumberFormat="1" applyFont="1" applyFill="1" applyBorder="1" applyAlignment="1">
      <alignment vertical="center"/>
    </xf>
    <xf numFmtId="4" fontId="11" fillId="18" borderId="31" xfId="6" applyNumberFormat="1" applyFont="1" applyFill="1" applyBorder="1" applyAlignment="1">
      <alignment vertical="center"/>
    </xf>
    <xf numFmtId="4" fontId="9" fillId="10" borderId="39" xfId="0" applyNumberFormat="1" applyFont="1" applyFill="1" applyBorder="1" applyAlignment="1">
      <alignment vertical="center"/>
    </xf>
    <xf numFmtId="4" fontId="3" fillId="10" borderId="29" xfId="6" applyNumberFormat="1" applyFont="1" applyFill="1" applyBorder="1" applyAlignment="1">
      <alignment vertical="center"/>
    </xf>
    <xf numFmtId="4" fontId="8" fillId="0" borderId="33" xfId="0" applyNumberFormat="1" applyFont="1" applyBorder="1"/>
    <xf numFmtId="4" fontId="11" fillId="5" borderId="25" xfId="0" applyNumberFormat="1" applyFont="1" applyFill="1" applyBorder="1" applyAlignment="1">
      <alignment vertical="center"/>
    </xf>
    <xf numFmtId="4" fontId="11" fillId="18" borderId="25" xfId="0" applyNumberFormat="1" applyFont="1" applyFill="1" applyBorder="1" applyAlignment="1">
      <alignment vertical="center"/>
    </xf>
    <xf numFmtId="4" fontId="8" fillId="13" borderId="31" xfId="0" applyNumberFormat="1" applyFont="1" applyFill="1" applyBorder="1" applyAlignment="1">
      <alignment vertical="center"/>
    </xf>
    <xf numFmtId="4" fontId="8" fillId="0" borderId="31" xfId="0" applyNumberFormat="1" applyFont="1" applyBorder="1"/>
    <xf numFmtId="4" fontId="8" fillId="18" borderId="31" xfId="0" applyNumberFormat="1" applyFont="1" applyFill="1" applyBorder="1"/>
    <xf numFmtId="4" fontId="8" fillId="3" borderId="31" xfId="0" applyNumberFormat="1" applyFont="1" applyFill="1" applyBorder="1" applyAlignment="1">
      <alignment vertical="center"/>
    </xf>
    <xf numFmtId="4" fontId="11" fillId="5" borderId="35" xfId="6" applyNumberFormat="1" applyFont="1" applyFill="1" applyBorder="1" applyAlignment="1">
      <alignment vertical="center"/>
    </xf>
    <xf numFmtId="4" fontId="11" fillId="18" borderId="22" xfId="6" applyNumberFormat="1" applyFont="1" applyFill="1" applyBorder="1" applyAlignment="1">
      <alignment vertical="center"/>
    </xf>
    <xf numFmtId="4" fontId="8" fillId="13" borderId="40" xfId="0" applyNumberFormat="1" applyFont="1" applyFill="1" applyBorder="1" applyAlignment="1">
      <alignment vertical="center"/>
    </xf>
    <xf numFmtId="4" fontId="11" fillId="5" borderId="29" xfId="6" applyNumberFormat="1" applyFont="1" applyFill="1" applyBorder="1" applyAlignment="1">
      <alignment vertical="center"/>
    </xf>
    <xf numFmtId="4" fontId="11" fillId="18" borderId="24" xfId="6" applyNumberFormat="1" applyFont="1" applyFill="1" applyBorder="1" applyAlignment="1">
      <alignment vertical="center"/>
    </xf>
    <xf numFmtId="4" fontId="8" fillId="13" borderId="41" xfId="0" applyNumberFormat="1" applyFont="1" applyFill="1" applyBorder="1" applyAlignment="1">
      <alignment vertical="center"/>
    </xf>
    <xf numFmtId="4" fontId="8" fillId="3" borderId="23" xfId="0" applyNumberFormat="1" applyFont="1" applyFill="1" applyBorder="1" applyAlignment="1">
      <alignment vertical="center"/>
    </xf>
    <xf numFmtId="4" fontId="11" fillId="12" borderId="22" xfId="6" applyNumberFormat="1" applyFont="1" applyFill="1" applyBorder="1" applyAlignment="1">
      <alignment vertical="center"/>
    </xf>
    <xf numFmtId="4" fontId="11" fillId="5" borderId="23" xfId="6" applyNumberFormat="1" applyFont="1" applyFill="1" applyBorder="1" applyAlignment="1">
      <alignment vertical="center"/>
    </xf>
    <xf numFmtId="4" fontId="11" fillId="18" borderId="23" xfId="6" applyNumberFormat="1" applyFont="1" applyFill="1" applyBorder="1" applyAlignment="1">
      <alignment vertical="center"/>
    </xf>
    <xf numFmtId="49" fontId="6" fillId="16" borderId="30" xfId="7" quotePrefix="1" applyNumberFormat="1" applyFont="1" applyFill="1" applyBorder="1" applyAlignment="1">
      <alignment horizontal="center" vertical="center" wrapText="1" justifyLastLine="1"/>
    </xf>
    <xf numFmtId="3" fontId="6" fillId="16" borderId="30" xfId="8" quotePrefix="1" applyNumberFormat="1" applyFont="1" applyFill="1" applyBorder="1" applyAlignment="1">
      <alignment horizontal="center" vertical="center"/>
    </xf>
    <xf numFmtId="0" fontId="1" fillId="3" borderId="42" xfId="1" quotePrefix="1" applyNumberFormat="1" applyFill="1" applyBorder="1" applyAlignment="1">
      <alignment horizontal="left" vertical="center" wrapText="1" justifyLastLine="1"/>
    </xf>
    <xf numFmtId="164" fontId="2" fillId="5" borderId="28" xfId="2" quotePrefix="1" applyNumberFormat="1" applyFont="1" applyFill="1" applyBorder="1" applyAlignment="1">
      <alignment horizontal="left" vertical="center" indent="2" justifyLastLine="1"/>
    </xf>
    <xf numFmtId="4" fontId="8" fillId="5" borderId="41" xfId="0" applyNumberFormat="1" applyFont="1" applyFill="1" applyBorder="1"/>
    <xf numFmtId="164" fontId="2" fillId="4" borderId="2" xfId="2" quotePrefix="1" applyNumberFormat="1" applyFont="1" applyBorder="1" applyAlignment="1">
      <alignment horizontal="left" vertical="center" indent="2" justifyLastLine="1"/>
    </xf>
    <xf numFmtId="3" fontId="7" fillId="16" borderId="29" xfId="6" applyNumberFormat="1" applyFont="1" applyFill="1" applyBorder="1">
      <alignment vertical="center"/>
    </xf>
    <xf numFmtId="4" fontId="8" fillId="16" borderId="29" xfId="0" applyNumberFormat="1" applyFont="1" applyFill="1" applyBorder="1" applyAlignment="1">
      <alignment vertical="center"/>
    </xf>
    <xf numFmtId="4" fontId="9" fillId="6" borderId="27" xfId="0" applyNumberFormat="1" applyFont="1" applyFill="1" applyBorder="1"/>
    <xf numFmtId="0" fontId="12" fillId="0" borderId="0" xfId="0" applyFont="1" applyFill="1"/>
    <xf numFmtId="0" fontId="12" fillId="0" borderId="0" xfId="0" applyFont="1"/>
    <xf numFmtId="0" fontId="3" fillId="0" borderId="42" xfId="3" quotePrefix="1" applyFont="1" applyFill="1" applyBorder="1" applyAlignment="1">
      <alignment horizontal="left" vertical="center" wrapText="1" justifyLastLine="1"/>
    </xf>
    <xf numFmtId="0" fontId="3" fillId="8" borderId="42" xfId="3" quotePrefix="1" applyFont="1" applyFill="1" applyBorder="1" applyAlignment="1">
      <alignment horizontal="left" vertical="center" wrapText="1" justifyLastLine="1"/>
    </xf>
    <xf numFmtId="4" fontId="11" fillId="12" borderId="24" xfId="0" applyNumberFormat="1" applyFont="1" applyFill="1" applyBorder="1" applyAlignment="1">
      <alignment vertical="center"/>
    </xf>
    <xf numFmtId="4" fontId="11" fillId="13" borderId="25" xfId="0" applyNumberFormat="1" applyFont="1" applyFill="1" applyBorder="1" applyAlignment="1">
      <alignment vertical="center"/>
    </xf>
    <xf numFmtId="0" fontId="12" fillId="0" borderId="17" xfId="0" applyFont="1" applyBorder="1"/>
    <xf numFmtId="4" fontId="8" fillId="0" borderId="43" xfId="0" applyNumberFormat="1" applyFont="1" applyBorder="1"/>
    <xf numFmtId="4" fontId="8" fillId="5" borderId="31" xfId="0" applyNumberFormat="1" applyFont="1" applyFill="1" applyBorder="1" applyAlignment="1">
      <alignment vertical="center"/>
    </xf>
    <xf numFmtId="4" fontId="8" fillId="18" borderId="31" xfId="0" applyNumberFormat="1" applyFont="1" applyFill="1" applyBorder="1" applyAlignment="1">
      <alignment vertical="center"/>
    </xf>
    <xf numFmtId="4" fontId="8" fillId="0" borderId="0" xfId="0" applyNumberFormat="1" applyFont="1" applyBorder="1"/>
    <xf numFmtId="4" fontId="8" fillId="0" borderId="44" xfId="0" applyNumberFormat="1" applyFont="1" applyBorder="1"/>
    <xf numFmtId="4" fontId="8" fillId="0" borderId="13" xfId="0" applyNumberFormat="1" applyFont="1" applyBorder="1"/>
    <xf numFmtId="4" fontId="8" fillId="12" borderId="12" xfId="0" applyNumberFormat="1" applyFont="1" applyFill="1" applyBorder="1" applyAlignment="1">
      <alignment vertical="center"/>
    </xf>
    <xf numFmtId="4" fontId="8" fillId="5" borderId="8" xfId="0" applyNumberFormat="1" applyFont="1" applyFill="1" applyBorder="1" applyAlignment="1">
      <alignment vertical="center"/>
    </xf>
    <xf numFmtId="4" fontId="8" fillId="18" borderId="8" xfId="0" applyNumberFormat="1" applyFont="1" applyFill="1" applyBorder="1" applyAlignment="1">
      <alignment vertical="center"/>
    </xf>
    <xf numFmtId="4" fontId="8" fillId="13" borderId="8" xfId="0" applyNumberFormat="1" applyFont="1" applyFill="1" applyBorder="1" applyAlignment="1">
      <alignment vertical="center"/>
    </xf>
    <xf numFmtId="4" fontId="8" fillId="0" borderId="8" xfId="0" applyNumberFormat="1" applyFont="1" applyBorder="1"/>
    <xf numFmtId="4" fontId="8" fillId="0" borderId="14" xfId="0" applyNumberFormat="1" applyFont="1" applyBorder="1"/>
    <xf numFmtId="4" fontId="8" fillId="0" borderId="19" xfId="0" applyNumberFormat="1" applyFont="1" applyBorder="1"/>
    <xf numFmtId="4" fontId="11" fillId="5" borderId="30" xfId="6" applyNumberFormat="1" applyFont="1" applyFill="1" applyBorder="1" applyAlignment="1">
      <alignment vertical="center"/>
    </xf>
    <xf numFmtId="4" fontId="11" fillId="18" borderId="32" xfId="6" applyNumberFormat="1" applyFont="1" applyFill="1" applyBorder="1" applyAlignment="1">
      <alignment vertical="center"/>
    </xf>
    <xf numFmtId="4" fontId="8" fillId="13" borderId="46" xfId="0" applyNumberFormat="1" applyFont="1" applyFill="1" applyBorder="1" applyAlignment="1">
      <alignment vertical="center"/>
    </xf>
    <xf numFmtId="4" fontId="3" fillId="10" borderId="30" xfId="6" applyNumberFormat="1" applyFont="1" applyFill="1" applyBorder="1" applyAlignment="1">
      <alignment vertical="center"/>
    </xf>
    <xf numFmtId="4" fontId="11" fillId="12" borderId="38" xfId="6" applyNumberFormat="1" applyFont="1" applyFill="1" applyBorder="1" applyAlignment="1">
      <alignment vertical="center"/>
    </xf>
    <xf numFmtId="4" fontId="11" fillId="5" borderId="36" xfId="6" applyNumberFormat="1" applyFont="1" applyFill="1" applyBorder="1" applyAlignment="1">
      <alignment vertical="center"/>
    </xf>
    <xf numFmtId="4" fontId="11" fillId="18" borderId="36" xfId="6" applyNumberFormat="1" applyFont="1" applyFill="1" applyBorder="1" applyAlignment="1">
      <alignment vertical="center"/>
    </xf>
    <xf numFmtId="4" fontId="8" fillId="18" borderId="36" xfId="0" applyNumberFormat="1" applyFont="1" applyFill="1" applyBorder="1"/>
    <xf numFmtId="4" fontId="11" fillId="0" borderId="36" xfId="0" applyNumberFormat="1" applyFont="1" applyBorder="1"/>
    <xf numFmtId="4" fontId="8" fillId="3" borderId="3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8" fillId="0" borderId="9" xfId="0" applyNumberFormat="1" applyFont="1" applyBorder="1"/>
    <xf numFmtId="4" fontId="10" fillId="8" borderId="45" xfId="0" applyNumberFormat="1" applyFont="1" applyFill="1" applyBorder="1" applyAlignment="1">
      <alignment vertical="center"/>
    </xf>
    <xf numFmtId="0" fontId="13" fillId="0" borderId="30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4" fontId="8" fillId="12" borderId="32" xfId="0" applyNumberFormat="1" applyFont="1" applyFill="1" applyBorder="1" applyAlignment="1">
      <alignment vertical="center"/>
    </xf>
    <xf numFmtId="4" fontId="11" fillId="0" borderId="25" xfId="0" applyNumberFormat="1" applyFont="1" applyBorder="1" applyAlignment="1">
      <alignment vertical="center"/>
    </xf>
    <xf numFmtId="4" fontId="11" fillId="0" borderId="27" xfId="0" applyNumberFormat="1" applyFont="1" applyBorder="1" applyAlignment="1">
      <alignment vertical="center"/>
    </xf>
    <xf numFmtId="0" fontId="1" fillId="3" borderId="25" xfId="5" quotePrefix="1" applyFill="1" applyBorder="1" applyAlignment="1">
      <alignment horizontal="left" vertical="center" wrapText="1" justifyLastLine="1"/>
    </xf>
    <xf numFmtId="4" fontId="8" fillId="0" borderId="36" xfId="0" applyNumberFormat="1" applyFont="1" applyBorder="1" applyAlignment="1">
      <alignment vertical="center"/>
    </xf>
    <xf numFmtId="4" fontId="8" fillId="0" borderId="37" xfId="0" applyNumberFormat="1" applyFont="1" applyBorder="1" applyAlignment="1">
      <alignment vertical="center"/>
    </xf>
    <xf numFmtId="0" fontId="12" fillId="0" borderId="52" xfId="0" applyFont="1" applyBorder="1"/>
    <xf numFmtId="4" fontId="9" fillId="10" borderId="44" xfId="0" applyNumberFormat="1" applyFont="1" applyFill="1" applyBorder="1" applyAlignment="1">
      <alignment vertical="center"/>
    </xf>
    <xf numFmtId="4" fontId="8" fillId="17" borderId="31" xfId="0" applyNumberFormat="1" applyFont="1" applyFill="1" applyBorder="1" applyAlignment="1">
      <alignment vertical="center"/>
    </xf>
    <xf numFmtId="0" fontId="12" fillId="0" borderId="53" xfId="0" applyFont="1" applyBorder="1"/>
    <xf numFmtId="4" fontId="8" fillId="0" borderId="54" xfId="0" applyNumberFormat="1" applyFont="1" applyBorder="1"/>
    <xf numFmtId="4" fontId="8" fillId="0" borderId="39" xfId="0" applyNumberFormat="1" applyFont="1" applyBorder="1"/>
    <xf numFmtId="3" fontId="3" fillId="3" borderId="45" xfId="8" quotePrefix="1" applyNumberFormat="1" applyFont="1" applyFill="1" applyBorder="1" applyAlignment="1">
      <alignment horizontal="center" vertical="center"/>
    </xf>
    <xf numFmtId="4" fontId="2" fillId="16" borderId="45" xfId="6" applyNumberFormat="1" applyFont="1" applyFill="1" applyBorder="1">
      <alignment vertical="center"/>
    </xf>
    <xf numFmtId="4" fontId="8" fillId="5" borderId="55" xfId="0" applyNumberFormat="1" applyFont="1" applyFill="1" applyBorder="1" applyAlignment="1">
      <alignment vertical="center"/>
    </xf>
    <xf numFmtId="4" fontId="8" fillId="5" borderId="36" xfId="0" applyNumberFormat="1" applyFont="1" applyFill="1" applyBorder="1"/>
    <xf numFmtId="4" fontId="9" fillId="6" borderId="37" xfId="0" applyNumberFormat="1" applyFont="1" applyFill="1" applyBorder="1" applyAlignment="1">
      <alignment vertical="center"/>
    </xf>
    <xf numFmtId="0" fontId="0" fillId="0" borderId="30" xfId="0" applyBorder="1"/>
    <xf numFmtId="4" fontId="9" fillId="10" borderId="52" xfId="0" applyNumberFormat="1" applyFont="1" applyFill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43" xfId="0" applyNumberFormat="1" applyFont="1" applyBorder="1" applyAlignment="1">
      <alignment vertical="center"/>
    </xf>
    <xf numFmtId="4" fontId="8" fillId="0" borderId="23" xfId="0" applyNumberFormat="1" applyFont="1" applyBorder="1" applyAlignment="1">
      <alignment vertical="center"/>
    </xf>
    <xf numFmtId="4" fontId="8" fillId="3" borderId="33" xfId="0" applyNumberFormat="1" applyFont="1" applyFill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18" borderId="33" xfId="0" applyNumberFormat="1" applyFont="1" applyFill="1" applyBorder="1" applyAlignment="1">
      <alignment vertical="center"/>
    </xf>
    <xf numFmtId="4" fontId="8" fillId="18" borderId="46" xfId="0" applyNumberFormat="1" applyFont="1" applyFill="1" applyBorder="1" applyAlignment="1">
      <alignment vertical="center"/>
    </xf>
    <xf numFmtId="0" fontId="2" fillId="4" borderId="42" xfId="2" quotePrefix="1" applyFont="1" applyBorder="1" applyAlignment="1">
      <alignment horizontal="left" vertical="center" wrapText="1" justifyLastLine="1"/>
    </xf>
    <xf numFmtId="0" fontId="1" fillId="5" borderId="50" xfId="5" quotePrefix="1" applyFill="1" applyBorder="1" applyAlignment="1">
      <alignment horizontal="left" vertical="center" wrapText="1" justifyLastLine="1"/>
    </xf>
    <xf numFmtId="0" fontId="1" fillId="5" borderId="48" xfId="5" quotePrefix="1" applyFill="1" applyBorder="1" applyAlignment="1">
      <alignment horizontal="left" vertical="center" wrapText="1" justifyLastLine="1"/>
    </xf>
    <xf numFmtId="3" fontId="11" fillId="5" borderId="48" xfId="6" applyNumberFormat="1" applyFont="1" applyFill="1" applyBorder="1">
      <alignment vertical="center"/>
    </xf>
    <xf numFmtId="0" fontId="2" fillId="6" borderId="51" xfId="5" quotePrefix="1" applyFont="1" applyFill="1" applyBorder="1" applyAlignment="1">
      <alignment horizontal="left" vertical="center" wrapText="1" justifyLastLine="1"/>
    </xf>
    <xf numFmtId="0" fontId="3" fillId="10" borderId="56" xfId="4" quotePrefix="1" applyFont="1" applyFill="1" applyBorder="1" applyAlignment="1">
      <alignment horizontal="left" vertical="center" wrapText="1" justifyLastLine="1"/>
    </xf>
    <xf numFmtId="0" fontId="1" fillId="12" borderId="47" xfId="5" quotePrefix="1" applyFill="1" applyBorder="1" applyAlignment="1">
      <alignment horizontal="left" vertical="center" wrapText="1" justifyLastLine="1"/>
    </xf>
    <xf numFmtId="0" fontId="1" fillId="18" borderId="48" xfId="5" quotePrefix="1" applyFill="1" applyBorder="1" applyAlignment="1">
      <alignment horizontal="left" vertical="center" wrapText="1" justifyLastLine="1"/>
    </xf>
    <xf numFmtId="0" fontId="1" fillId="13" borderId="48" xfId="5" quotePrefix="1" applyFill="1" applyBorder="1" applyAlignment="1">
      <alignment horizontal="left" vertical="center" wrapText="1" justifyLastLine="1"/>
    </xf>
    <xf numFmtId="0" fontId="1" fillId="3" borderId="48" xfId="5" quotePrefix="1" applyFill="1" applyBorder="1" applyAlignment="1">
      <alignment horizontal="left" vertical="center" wrapText="1" justifyLastLine="1"/>
    </xf>
    <xf numFmtId="0" fontId="1" fillId="3" borderId="51" xfId="5" quotePrefix="1" applyFill="1" applyBorder="1" applyAlignment="1">
      <alignment horizontal="left" vertical="center" wrapText="1" justifyLastLine="1"/>
    </xf>
    <xf numFmtId="0" fontId="4" fillId="3" borderId="48" xfId="5" quotePrefix="1" applyFont="1" applyFill="1" applyBorder="1" applyAlignment="1">
      <alignment horizontal="left" vertical="center" wrapText="1" justifyLastLine="1"/>
    </xf>
    <xf numFmtId="0" fontId="3" fillId="10" borderId="57" xfId="4" quotePrefix="1" applyFont="1" applyFill="1" applyBorder="1" applyAlignment="1">
      <alignment horizontal="left" vertical="center" wrapText="1" justifyLastLine="1"/>
    </xf>
    <xf numFmtId="0" fontId="4" fillId="12" borderId="47" xfId="5" quotePrefix="1" applyFont="1" applyFill="1" applyBorder="1" applyAlignment="1">
      <alignment horizontal="left" vertical="center" wrapText="1" justifyLastLine="1"/>
    </xf>
    <xf numFmtId="0" fontId="1" fillId="11" borderId="48" xfId="5" quotePrefix="1" applyBorder="1">
      <alignment horizontal="left" vertical="center" indent="1" justifyLastLine="1"/>
    </xf>
    <xf numFmtId="0" fontId="1" fillId="11" borderId="49" xfId="5" quotePrefix="1" applyBorder="1">
      <alignment horizontal="left" vertical="center" indent="1" justifyLastLine="1"/>
    </xf>
    <xf numFmtId="0" fontId="1" fillId="11" borderId="50" xfId="5" quotePrefix="1" applyBorder="1">
      <alignment horizontal="left" vertical="center" indent="1" justifyLastLine="1"/>
    </xf>
    <xf numFmtId="0" fontId="1" fillId="5" borderId="42" xfId="5" quotePrefix="1" applyFill="1" applyBorder="1" applyAlignment="1">
      <alignment horizontal="left" vertical="center" wrapText="1" justifyLastLine="1"/>
    </xf>
    <xf numFmtId="0" fontId="3" fillId="10" borderId="42" xfId="4" quotePrefix="1" applyFont="1" applyFill="1" applyBorder="1" applyAlignment="1">
      <alignment horizontal="left" vertical="center" wrapText="1" justifyLastLine="1"/>
    </xf>
    <xf numFmtId="0" fontId="1" fillId="18" borderId="50" xfId="5" quotePrefix="1" applyFill="1" applyBorder="1">
      <alignment horizontal="left" vertical="center" indent="1" justifyLastLine="1"/>
    </xf>
    <xf numFmtId="0" fontId="1" fillId="11" borderId="51" xfId="5" quotePrefix="1" applyBorder="1">
      <alignment horizontal="left" vertical="center" indent="1" justifyLastLine="1"/>
    </xf>
    <xf numFmtId="4" fontId="0" fillId="0" borderId="0" xfId="0" applyNumberFormat="1" applyFill="1"/>
    <xf numFmtId="4" fontId="8" fillId="17" borderId="36" xfId="0" applyNumberFormat="1" applyFont="1" applyFill="1" applyBorder="1" applyAlignment="1">
      <alignment vertical="center"/>
    </xf>
    <xf numFmtId="4" fontId="11" fillId="5" borderId="45" xfId="6" applyNumberFormat="1" applyFont="1" applyFill="1" applyBorder="1" applyAlignment="1">
      <alignment vertical="center"/>
    </xf>
    <xf numFmtId="4" fontId="11" fillId="18" borderId="38" xfId="6" applyNumberFormat="1" applyFont="1" applyFill="1" applyBorder="1" applyAlignment="1">
      <alignment vertical="center"/>
    </xf>
    <xf numFmtId="4" fontId="8" fillId="13" borderId="55" xfId="0" applyNumberFormat="1" applyFont="1" applyFill="1" applyBorder="1" applyAlignment="1">
      <alignment vertical="center"/>
    </xf>
    <xf numFmtId="4" fontId="11" fillId="5" borderId="4" xfId="6" applyNumberFormat="1" applyFont="1" applyFill="1" applyBorder="1" applyAlignment="1">
      <alignment vertical="center"/>
    </xf>
    <xf numFmtId="4" fontId="11" fillId="18" borderId="4" xfId="6" applyNumberFormat="1" applyFont="1" applyFill="1" applyBorder="1" applyAlignment="1">
      <alignment vertical="center"/>
    </xf>
    <xf numFmtId="4" fontId="11" fillId="5" borderId="2" xfId="6" applyNumberFormat="1" applyFont="1" applyFill="1" applyBorder="1" applyAlignment="1">
      <alignment vertical="center"/>
    </xf>
    <xf numFmtId="4" fontId="11" fillId="18" borderId="3" xfId="6" applyNumberFormat="1" applyFont="1" applyFill="1" applyBorder="1" applyAlignment="1">
      <alignment vertical="center"/>
    </xf>
    <xf numFmtId="4" fontId="8" fillId="13" borderId="28" xfId="0" applyNumberFormat="1" applyFont="1" applyFill="1" applyBorder="1" applyAlignment="1">
      <alignment vertical="center"/>
    </xf>
    <xf numFmtId="4" fontId="11" fillId="12" borderId="3" xfId="6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19" borderId="4" xfId="0" applyNumberFormat="1" applyFont="1" applyFill="1" applyBorder="1" applyAlignment="1">
      <alignment vertical="center"/>
    </xf>
    <xf numFmtId="4" fontId="8" fillId="19" borderId="36" xfId="0" applyNumberFormat="1" applyFont="1" applyFill="1" applyBorder="1" applyAlignment="1">
      <alignment vertical="center"/>
    </xf>
    <xf numFmtId="4" fontId="8" fillId="17" borderId="23" xfId="0" applyNumberFormat="1" applyFont="1" applyFill="1" applyBorder="1"/>
    <xf numFmtId="4" fontId="8" fillId="17" borderId="31" xfId="0" applyNumberFormat="1" applyFont="1" applyFill="1" applyBorder="1"/>
    <xf numFmtId="4" fontId="8" fillId="17" borderId="25" xfId="0" applyNumberFormat="1" applyFont="1" applyFill="1" applyBorder="1"/>
    <xf numFmtId="4" fontId="8" fillId="17" borderId="4" xfId="0" applyNumberFormat="1" applyFont="1" applyFill="1" applyBorder="1"/>
    <xf numFmtId="4" fontId="8" fillId="5" borderId="58" xfId="0" applyNumberFormat="1" applyFont="1" applyFill="1" applyBorder="1" applyAlignment="1">
      <alignment vertical="center"/>
    </xf>
    <xf numFmtId="4" fontId="8" fillId="5" borderId="2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1" fillId="3" borderId="49" xfId="5" quotePrefix="1" applyFill="1" applyBorder="1" applyAlignment="1">
      <alignment horizontal="left" vertical="center" wrapText="1" justifyLastLine="1"/>
    </xf>
    <xf numFmtId="4" fontId="8" fillId="0" borderId="7" xfId="0" applyNumberFormat="1" applyFont="1" applyBorder="1"/>
    <xf numFmtId="4" fontId="3" fillId="10" borderId="44" xfId="6" applyNumberFormat="1" applyFont="1" applyFill="1" applyBorder="1" applyAlignment="1">
      <alignment vertical="center"/>
    </xf>
    <xf numFmtId="4" fontId="3" fillId="10" borderId="39" xfId="6" applyNumberFormat="1" applyFont="1" applyFill="1" applyBorder="1" applyAlignment="1">
      <alignment vertical="center"/>
    </xf>
    <xf numFmtId="4" fontId="3" fillId="10" borderId="20" xfId="6" applyNumberFormat="1" applyFont="1" applyFill="1" applyBorder="1" applyAlignment="1">
      <alignment vertical="center"/>
    </xf>
    <xf numFmtId="4" fontId="3" fillId="10" borderId="18" xfId="6" applyNumberFormat="1" applyFont="1" applyFill="1" applyBorder="1" applyAlignment="1">
      <alignment vertical="center"/>
    </xf>
    <xf numFmtId="4" fontId="8" fillId="0" borderId="58" xfId="0" applyNumberFormat="1" applyFont="1" applyBorder="1"/>
    <xf numFmtId="3" fontId="8" fillId="5" borderId="41" xfId="0" applyNumberFormat="1" applyFont="1" applyFill="1" applyBorder="1"/>
    <xf numFmtId="3" fontId="8" fillId="5" borderId="25" xfId="0" applyNumberFormat="1" applyFont="1" applyFill="1" applyBorder="1"/>
    <xf numFmtId="3" fontId="8" fillId="5" borderId="26" xfId="0" applyNumberFormat="1" applyFont="1" applyFill="1" applyBorder="1"/>
    <xf numFmtId="3" fontId="9" fillId="6" borderId="27" xfId="0" applyNumberFormat="1" applyFont="1" applyFill="1" applyBorder="1"/>
    <xf numFmtId="3" fontId="0" fillId="0" borderId="17" xfId="0" applyNumberFormat="1" applyBorder="1"/>
    <xf numFmtId="3" fontId="0" fillId="0" borderId="29" xfId="0" applyNumberFormat="1" applyBorder="1"/>
    <xf numFmtId="3" fontId="10" fillId="8" borderId="45" xfId="0" applyNumberFormat="1" applyFont="1" applyFill="1" applyBorder="1" applyAlignment="1">
      <alignment vertical="center"/>
    </xf>
    <xf numFmtId="3" fontId="10" fillId="8" borderId="29" xfId="0" applyNumberFormat="1" applyFont="1" applyFill="1" applyBorder="1" applyAlignment="1">
      <alignment vertical="center"/>
    </xf>
    <xf numFmtId="3" fontId="16" fillId="8" borderId="29" xfId="0" applyNumberFormat="1" applyFont="1" applyFill="1" applyBorder="1" applyAlignment="1">
      <alignment vertical="center"/>
    </xf>
    <xf numFmtId="3" fontId="9" fillId="10" borderId="2" xfId="0" applyNumberFormat="1" applyFont="1" applyFill="1" applyBorder="1" applyAlignment="1">
      <alignment vertical="center"/>
    </xf>
    <xf numFmtId="3" fontId="9" fillId="10" borderId="29" xfId="0" applyNumberFormat="1" applyFont="1" applyFill="1" applyBorder="1" applyAlignment="1">
      <alignment vertical="center"/>
    </xf>
    <xf numFmtId="3" fontId="15" fillId="10" borderId="29" xfId="0" applyNumberFormat="1" applyFont="1" applyFill="1" applyBorder="1" applyAlignment="1">
      <alignment vertical="center"/>
    </xf>
    <xf numFmtId="3" fontId="8" fillId="12" borderId="3" xfId="0" applyNumberFormat="1" applyFont="1" applyFill="1" applyBorder="1" applyAlignment="1">
      <alignment vertical="center"/>
    </xf>
    <xf numFmtId="3" fontId="8" fillId="12" borderId="24" xfId="0" applyNumberFormat="1" applyFont="1" applyFill="1" applyBorder="1" applyAlignment="1">
      <alignment vertical="center"/>
    </xf>
    <xf numFmtId="3" fontId="14" fillId="12" borderId="24" xfId="0" applyNumberFormat="1" applyFont="1" applyFill="1" applyBorder="1" applyAlignment="1">
      <alignment vertical="center"/>
    </xf>
    <xf numFmtId="3" fontId="14" fillId="5" borderId="25" xfId="0" applyNumberFormat="1" applyFont="1" applyFill="1" applyBorder="1" applyAlignment="1">
      <alignment vertical="center"/>
    </xf>
    <xf numFmtId="3" fontId="8" fillId="5" borderId="4" xfId="0" applyNumberFormat="1" applyFont="1" applyFill="1" applyBorder="1" applyAlignment="1">
      <alignment vertical="center"/>
    </xf>
    <xf numFmtId="3" fontId="8" fillId="5" borderId="25" xfId="0" applyNumberFormat="1" applyFont="1" applyFill="1" applyBorder="1" applyAlignment="1">
      <alignment vertical="center"/>
    </xf>
    <xf numFmtId="3" fontId="14" fillId="18" borderId="4" xfId="0" applyNumberFormat="1" applyFont="1" applyFill="1" applyBorder="1" applyAlignment="1">
      <alignment vertical="center"/>
    </xf>
    <xf numFmtId="3" fontId="8" fillId="18" borderId="4" xfId="0" applyNumberFormat="1" applyFont="1" applyFill="1" applyBorder="1" applyAlignment="1">
      <alignment vertical="center"/>
    </xf>
    <xf numFmtId="3" fontId="8" fillId="18" borderId="25" xfId="0" applyNumberFormat="1" applyFont="1" applyFill="1" applyBorder="1" applyAlignment="1">
      <alignment vertical="center"/>
    </xf>
    <xf numFmtId="3" fontId="14" fillId="18" borderId="25" xfId="0" applyNumberFormat="1" applyFont="1" applyFill="1" applyBorder="1" applyAlignment="1">
      <alignment vertical="center"/>
    </xf>
    <xf numFmtId="3" fontId="14" fillId="13" borderId="4" xfId="0" applyNumberFormat="1" applyFont="1" applyFill="1" applyBorder="1" applyAlignment="1">
      <alignment vertical="center"/>
    </xf>
    <xf numFmtId="3" fontId="8" fillId="13" borderId="4" xfId="0" applyNumberFormat="1" applyFont="1" applyFill="1" applyBorder="1" applyAlignment="1">
      <alignment vertical="center"/>
    </xf>
    <xf numFmtId="3" fontId="8" fillId="13" borderId="25" xfId="0" applyNumberFormat="1" applyFont="1" applyFill="1" applyBorder="1" applyAlignment="1">
      <alignment vertical="center"/>
    </xf>
    <xf numFmtId="3" fontId="14" fillId="13" borderId="25" xfId="0" applyNumberFormat="1" applyFont="1" applyFill="1" applyBorder="1" applyAlignment="1">
      <alignment vertical="center"/>
    </xf>
    <xf numFmtId="3" fontId="14" fillId="0" borderId="4" xfId="0" applyNumberFormat="1" applyFont="1" applyBorder="1"/>
    <xf numFmtId="3" fontId="11" fillId="0" borderId="4" xfId="0" applyNumberFormat="1" applyFont="1" applyBorder="1"/>
    <xf numFmtId="3" fontId="14" fillId="0" borderId="11" xfId="0" applyNumberFormat="1" applyFont="1" applyBorder="1"/>
    <xf numFmtId="3" fontId="11" fillId="0" borderId="25" xfId="0" applyNumberFormat="1" applyFont="1" applyBorder="1"/>
    <xf numFmtId="3" fontId="14" fillId="0" borderId="25" xfId="0" applyNumberFormat="1" applyFont="1" applyBorder="1"/>
    <xf numFmtId="3" fontId="14" fillId="18" borderId="4" xfId="0" applyNumberFormat="1" applyFont="1" applyFill="1" applyBorder="1"/>
    <xf numFmtId="3" fontId="8" fillId="18" borderId="4" xfId="0" applyNumberFormat="1" applyFont="1" applyFill="1" applyBorder="1"/>
    <xf numFmtId="3" fontId="8" fillId="18" borderId="25" xfId="0" applyNumberFormat="1" applyFont="1" applyFill="1" applyBorder="1"/>
    <xf numFmtId="3" fontId="14" fillId="18" borderId="41" xfId="0" applyNumberFormat="1" applyFont="1" applyFill="1" applyBorder="1"/>
    <xf numFmtId="3" fontId="14" fillId="13" borderId="11" xfId="0" applyNumberFormat="1" applyFont="1" applyFill="1" applyBorder="1" applyAlignment="1">
      <alignment vertical="center"/>
    </xf>
    <xf numFmtId="3" fontId="8" fillId="0" borderId="4" xfId="0" applyNumberFormat="1" applyFont="1" applyBorder="1"/>
    <xf numFmtId="3" fontId="8" fillId="0" borderId="25" xfId="0" applyNumberFormat="1" applyFont="1" applyBorder="1"/>
    <xf numFmtId="3" fontId="14" fillId="18" borderId="25" xfId="0" applyNumberFormat="1" applyFont="1" applyFill="1" applyBorder="1"/>
    <xf numFmtId="3" fontId="8" fillId="18" borderId="23" xfId="0" applyNumberFormat="1" applyFont="1" applyFill="1" applyBorder="1"/>
    <xf numFmtId="3" fontId="14" fillId="18" borderId="11" xfId="0" applyNumberFormat="1" applyFont="1" applyFill="1" applyBorder="1"/>
    <xf numFmtId="3" fontId="14" fillId="5" borderId="11" xfId="0" applyNumberFormat="1" applyFont="1" applyFill="1" applyBorder="1" applyAlignment="1">
      <alignment vertical="center"/>
    </xf>
    <xf numFmtId="3" fontId="14" fillId="17" borderId="11" xfId="0" applyNumberFormat="1" applyFont="1" applyFill="1" applyBorder="1"/>
    <xf numFmtId="3" fontId="8" fillId="17" borderId="4" xfId="0" applyNumberFormat="1" applyFont="1" applyFill="1" applyBorder="1"/>
    <xf numFmtId="3" fontId="8" fillId="17" borderId="25" xfId="0" applyNumberFormat="1" applyFont="1" applyFill="1" applyBorder="1"/>
    <xf numFmtId="3" fontId="14" fillId="17" borderId="25" xfId="0" applyNumberFormat="1" applyFont="1" applyFill="1" applyBorder="1"/>
    <xf numFmtId="3" fontId="14" fillId="0" borderId="5" xfId="0" applyNumberFormat="1" applyFont="1" applyBorder="1"/>
    <xf numFmtId="3" fontId="8" fillId="0" borderId="5" xfId="0" applyNumberFormat="1" applyFont="1" applyBorder="1"/>
    <xf numFmtId="3" fontId="14" fillId="0" borderId="15" xfId="0" applyNumberFormat="1" applyFont="1" applyBorder="1"/>
    <xf numFmtId="3" fontId="8" fillId="0" borderId="27" xfId="0" applyNumberFormat="1" applyFont="1" applyBorder="1"/>
    <xf numFmtId="3" fontId="14" fillId="0" borderId="27" xfId="0" applyNumberFormat="1" applyFont="1" applyBorder="1"/>
    <xf numFmtId="3" fontId="14" fillId="12" borderId="3" xfId="0" applyNumberFormat="1" applyFont="1" applyFill="1" applyBorder="1" applyAlignment="1">
      <alignment vertical="center"/>
    </xf>
    <xf numFmtId="3" fontId="14" fillId="17" borderId="4" xfId="0" applyNumberFormat="1" applyFont="1" applyFill="1" applyBorder="1" applyAlignment="1">
      <alignment vertical="center"/>
    </xf>
    <xf numFmtId="3" fontId="8" fillId="17" borderId="25" xfId="0" applyNumberFormat="1" applyFont="1" applyFill="1" applyBorder="1" applyAlignment="1">
      <alignment vertical="center"/>
    </xf>
    <xf numFmtId="3" fontId="8" fillId="17" borderId="4" xfId="0" applyNumberFormat="1" applyFont="1" applyFill="1" applyBorder="1" applyAlignment="1">
      <alignment vertical="center"/>
    </xf>
    <xf numFmtId="3" fontId="14" fillId="17" borderId="25" xfId="0" applyNumberFormat="1" applyFont="1" applyFill="1" applyBorder="1" applyAlignment="1">
      <alignment vertical="center"/>
    </xf>
    <xf numFmtId="3" fontId="14" fillId="0" borderId="39" xfId="0" applyNumberFormat="1" applyFont="1" applyBorder="1"/>
    <xf numFmtId="3" fontId="14" fillId="0" borderId="37" xfId="0" applyNumberFormat="1" applyFont="1" applyBorder="1"/>
    <xf numFmtId="3" fontId="8" fillId="0" borderId="37" xfId="0" applyNumberFormat="1" applyFont="1" applyBorder="1"/>
    <xf numFmtId="3" fontId="11" fillId="12" borderId="24" xfId="0" applyNumberFormat="1" applyFont="1" applyFill="1" applyBorder="1" applyAlignment="1">
      <alignment vertical="center"/>
    </xf>
    <xf numFmtId="3" fontId="14" fillId="12" borderId="38" xfId="0" applyNumberFormat="1" applyFont="1" applyFill="1" applyBorder="1" applyAlignment="1">
      <alignment vertical="center"/>
    </xf>
    <xf numFmtId="3" fontId="11" fillId="5" borderId="25" xfId="0" applyNumberFormat="1" applyFont="1" applyFill="1" applyBorder="1" applyAlignment="1">
      <alignment vertical="center"/>
    </xf>
    <xf numFmtId="3" fontId="11" fillId="5" borderId="41" xfId="0" applyNumberFormat="1" applyFont="1" applyFill="1" applyBorder="1" applyAlignment="1">
      <alignment vertical="center"/>
    </xf>
    <xf numFmtId="3" fontId="14" fillId="5" borderId="41" xfId="0" applyNumberFormat="1" applyFont="1" applyFill="1" applyBorder="1" applyAlignment="1">
      <alignment vertical="center"/>
    </xf>
    <xf numFmtId="3" fontId="11" fillId="18" borderId="25" xfId="0" applyNumberFormat="1" applyFont="1" applyFill="1" applyBorder="1" applyAlignment="1">
      <alignment vertical="center"/>
    </xf>
    <xf numFmtId="3" fontId="1" fillId="3" borderId="25" xfId="5" quotePrefix="1" applyNumberFormat="1" applyFill="1" applyBorder="1" applyAlignment="1">
      <alignment horizontal="left" vertical="center" wrapText="1" justifyLastLine="1"/>
    </xf>
    <xf numFmtId="3" fontId="14" fillId="3" borderId="25" xfId="5" quotePrefix="1" applyNumberFormat="1" applyFont="1" applyFill="1" applyBorder="1" applyAlignment="1">
      <alignment horizontal="left" vertical="center" wrapText="1" justifyLastLine="1"/>
    </xf>
    <xf numFmtId="3" fontId="14" fillId="0" borderId="26" xfId="0" applyNumberFormat="1" applyFont="1" applyBorder="1"/>
    <xf numFmtId="3" fontId="8" fillId="0" borderId="26" xfId="0" applyNumberFormat="1" applyFont="1" applyBorder="1"/>
    <xf numFmtId="3" fontId="14" fillId="0" borderId="25" xfId="0" applyNumberFormat="1" applyFont="1" applyBorder="1" applyAlignment="1">
      <alignment vertical="center"/>
    </xf>
    <xf numFmtId="3" fontId="8" fillId="0" borderId="25" xfId="0" applyNumberFormat="1" applyFont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15" fillId="10" borderId="18" xfId="0" applyNumberFormat="1" applyFont="1" applyFill="1" applyBorder="1" applyAlignment="1">
      <alignment vertical="center"/>
    </xf>
    <xf numFmtId="3" fontId="9" fillId="10" borderId="18" xfId="0" applyNumberFormat="1" applyFont="1" applyFill="1" applyBorder="1" applyAlignment="1">
      <alignment vertical="center"/>
    </xf>
    <xf numFmtId="3" fontId="9" fillId="10" borderId="39" xfId="0" applyNumberFormat="1" applyFont="1" applyFill="1" applyBorder="1" applyAlignment="1">
      <alignment vertical="center"/>
    </xf>
    <xf numFmtId="3" fontId="15" fillId="10" borderId="39" xfId="0" applyNumberFormat="1" applyFont="1" applyFill="1" applyBorder="1" applyAlignment="1">
      <alignment vertical="center"/>
    </xf>
    <xf numFmtId="3" fontId="8" fillId="12" borderId="22" xfId="0" applyNumberFormat="1" applyFont="1" applyFill="1" applyBorder="1" applyAlignment="1">
      <alignment vertical="center"/>
    </xf>
    <xf numFmtId="3" fontId="8" fillId="12" borderId="10" xfId="0" applyNumberFormat="1" applyFont="1" applyFill="1" applyBorder="1" applyAlignment="1">
      <alignment vertical="center"/>
    </xf>
    <xf numFmtId="3" fontId="8" fillId="12" borderId="32" xfId="0" applyNumberFormat="1" applyFont="1" applyFill="1" applyBorder="1" applyAlignment="1">
      <alignment vertical="center"/>
    </xf>
    <xf numFmtId="3" fontId="8" fillId="5" borderId="23" xfId="0" applyNumberFormat="1" applyFont="1" applyFill="1" applyBorder="1" applyAlignment="1">
      <alignment vertical="center"/>
    </xf>
    <xf numFmtId="3" fontId="8" fillId="5" borderId="11" xfId="0" applyNumberFormat="1" applyFont="1" applyFill="1" applyBorder="1" applyAlignment="1">
      <alignment vertical="center"/>
    </xf>
    <xf numFmtId="3" fontId="8" fillId="5" borderId="31" xfId="0" applyNumberFormat="1" applyFont="1" applyFill="1" applyBorder="1" applyAlignment="1">
      <alignment vertical="center"/>
    </xf>
    <xf numFmtId="3" fontId="8" fillId="18" borderId="23" xfId="0" applyNumberFormat="1" applyFont="1" applyFill="1" applyBorder="1" applyAlignment="1">
      <alignment vertical="center"/>
    </xf>
    <xf numFmtId="3" fontId="8" fillId="18" borderId="11" xfId="0" applyNumberFormat="1" applyFont="1" applyFill="1" applyBorder="1" applyAlignment="1">
      <alignment vertical="center"/>
    </xf>
    <xf numFmtId="3" fontId="8" fillId="18" borderId="31" xfId="0" applyNumberFormat="1" applyFont="1" applyFill="1" applyBorder="1" applyAlignment="1">
      <alignment vertical="center"/>
    </xf>
    <xf numFmtId="3" fontId="14" fillId="19" borderId="25" xfId="0" applyNumberFormat="1" applyFont="1" applyFill="1" applyBorder="1" applyAlignment="1">
      <alignment vertical="center"/>
    </xf>
    <xf numFmtId="3" fontId="8" fillId="19" borderId="23" xfId="0" applyNumberFormat="1" applyFont="1" applyFill="1" applyBorder="1" applyAlignment="1">
      <alignment vertical="center"/>
    </xf>
    <xf numFmtId="3" fontId="8" fillId="19" borderId="11" xfId="0" applyNumberFormat="1" applyFont="1" applyFill="1" applyBorder="1" applyAlignment="1">
      <alignment vertical="center"/>
    </xf>
    <xf numFmtId="3" fontId="8" fillId="19" borderId="31" xfId="0" applyNumberFormat="1" applyFont="1" applyFill="1" applyBorder="1" applyAlignment="1">
      <alignment vertical="center"/>
    </xf>
    <xf numFmtId="3" fontId="14" fillId="3" borderId="25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vertical="center"/>
    </xf>
    <xf numFmtId="3" fontId="11" fillId="13" borderId="23" xfId="0" applyNumberFormat="1" applyFont="1" applyFill="1" applyBorder="1" applyAlignment="1">
      <alignment vertical="center"/>
    </xf>
    <xf numFmtId="3" fontId="11" fillId="13" borderId="11" xfId="0" applyNumberFormat="1" applyFont="1" applyFill="1" applyBorder="1" applyAlignment="1">
      <alignment vertical="center"/>
    </xf>
    <xf numFmtId="3" fontId="8" fillId="13" borderId="31" xfId="0" applyNumberFormat="1" applyFont="1" applyFill="1" applyBorder="1" applyAlignment="1">
      <alignment vertical="center"/>
    </xf>
    <xf numFmtId="3" fontId="11" fillId="0" borderId="23" xfId="0" applyNumberFormat="1" applyFont="1" applyBorder="1"/>
    <xf numFmtId="3" fontId="11" fillId="0" borderId="11" xfId="0" applyNumberFormat="1" applyFont="1" applyBorder="1"/>
    <xf numFmtId="3" fontId="8" fillId="0" borderId="31" xfId="0" applyNumberFormat="1" applyFont="1" applyBorder="1"/>
    <xf numFmtId="3" fontId="11" fillId="18" borderId="23" xfId="0" applyNumberFormat="1" applyFont="1" applyFill="1" applyBorder="1"/>
    <xf numFmtId="3" fontId="11" fillId="18" borderId="11" xfId="0" applyNumberFormat="1" applyFont="1" applyFill="1" applyBorder="1"/>
    <xf numFmtId="3" fontId="8" fillId="18" borderId="31" xfId="0" applyNumberFormat="1" applyFont="1" applyFill="1" applyBorder="1"/>
    <xf numFmtId="3" fontId="8" fillId="0" borderId="21" xfId="0" applyNumberFormat="1" applyFont="1" applyBorder="1"/>
    <xf numFmtId="3" fontId="8" fillId="0" borderId="59" xfId="0" applyNumberFormat="1" applyFont="1" applyBorder="1"/>
    <xf numFmtId="3" fontId="8" fillId="0" borderId="33" xfId="0" applyNumberFormat="1" applyFont="1" applyBorder="1"/>
    <xf numFmtId="3" fontId="14" fillId="5" borderId="25" xfId="6" applyNumberFormat="1" applyFont="1" applyFill="1" applyBorder="1" applyAlignment="1">
      <alignment vertical="center"/>
    </xf>
    <xf numFmtId="3" fontId="11" fillId="5" borderId="25" xfId="6" applyNumberFormat="1" applyFont="1" applyFill="1" applyBorder="1" applyAlignment="1">
      <alignment vertical="center"/>
    </xf>
    <xf numFmtId="3" fontId="15" fillId="10" borderId="18" xfId="6" applyNumberFormat="1" applyFont="1" applyFill="1" applyBorder="1" applyAlignment="1">
      <alignment vertical="center"/>
    </xf>
    <xf numFmtId="3" fontId="3" fillId="10" borderId="18" xfId="6" applyNumberFormat="1" applyFont="1" applyFill="1" applyBorder="1" applyAlignment="1">
      <alignment vertical="center"/>
    </xf>
    <xf numFmtId="3" fontId="3" fillId="10" borderId="39" xfId="6" applyNumberFormat="1" applyFont="1" applyFill="1" applyBorder="1" applyAlignment="1">
      <alignment vertical="center"/>
    </xf>
    <xf numFmtId="3" fontId="15" fillId="10" borderId="39" xfId="6" applyNumberFormat="1" applyFont="1" applyFill="1" applyBorder="1" applyAlignment="1">
      <alignment vertical="center"/>
    </xf>
    <xf numFmtId="3" fontId="14" fillId="12" borderId="38" xfId="6" applyNumberFormat="1" applyFont="1" applyFill="1" applyBorder="1" applyAlignment="1">
      <alignment vertical="center"/>
    </xf>
    <xf numFmtId="3" fontId="11" fillId="12" borderId="24" xfId="6" applyNumberFormat="1" applyFont="1" applyFill="1" applyBorder="1" applyAlignment="1">
      <alignment vertical="center"/>
    </xf>
    <xf numFmtId="3" fontId="14" fillId="12" borderId="24" xfId="6" applyNumberFormat="1" applyFont="1" applyFill="1" applyBorder="1" applyAlignment="1">
      <alignment vertical="center"/>
    </xf>
    <xf numFmtId="3" fontId="11" fillId="18" borderId="25" xfId="6" applyNumberFormat="1" applyFont="1" applyFill="1" applyBorder="1" applyAlignment="1">
      <alignment vertical="center"/>
    </xf>
    <xf numFmtId="3" fontId="14" fillId="18" borderId="25" xfId="6" applyNumberFormat="1" applyFont="1" applyFill="1" applyBorder="1" applyAlignment="1">
      <alignment vertical="center"/>
    </xf>
    <xf numFmtId="3" fontId="11" fillId="13" borderId="25" xfId="0" applyNumberFormat="1" applyFont="1" applyFill="1" applyBorder="1" applyAlignment="1">
      <alignment vertical="center"/>
    </xf>
    <xf numFmtId="3" fontId="14" fillId="0" borderId="31" xfId="0" applyNumberFormat="1" applyFont="1" applyBorder="1"/>
    <xf numFmtId="3" fontId="11" fillId="3" borderId="25" xfId="0" applyNumberFormat="1" applyFont="1" applyFill="1" applyBorder="1" applyAlignment="1">
      <alignment vertical="center"/>
    </xf>
    <xf numFmtId="3" fontId="14" fillId="3" borderId="31" xfId="0" applyNumberFormat="1" applyFont="1" applyFill="1" applyBorder="1" applyAlignment="1">
      <alignment vertical="center"/>
    </xf>
    <xf numFmtId="3" fontId="8" fillId="3" borderId="25" xfId="0" applyNumberFormat="1" applyFont="1" applyFill="1" applyBorder="1" applyAlignment="1">
      <alignment vertical="center"/>
    </xf>
    <xf numFmtId="3" fontId="11" fillId="0" borderId="27" xfId="0" applyNumberFormat="1" applyFont="1" applyBorder="1"/>
    <xf numFmtId="3" fontId="14" fillId="0" borderId="33" xfId="0" applyNumberFormat="1" applyFont="1" applyBorder="1"/>
    <xf numFmtId="3" fontId="14" fillId="5" borderId="29" xfId="6" applyNumberFormat="1" applyFont="1" applyFill="1" applyBorder="1" applyAlignment="1">
      <alignment vertical="center"/>
    </xf>
    <xf numFmtId="3" fontId="11" fillId="5" borderId="35" xfId="6" applyNumberFormat="1" applyFont="1" applyFill="1" applyBorder="1" applyAlignment="1">
      <alignment vertical="center"/>
    </xf>
    <xf numFmtId="3" fontId="11" fillId="5" borderId="29" xfId="6" applyNumberFormat="1" applyFont="1" applyFill="1" applyBorder="1" applyAlignment="1">
      <alignment vertical="center"/>
    </xf>
    <xf numFmtId="3" fontId="14" fillId="18" borderId="24" xfId="6" applyNumberFormat="1" applyFont="1" applyFill="1" applyBorder="1" applyAlignment="1">
      <alignment vertical="center"/>
    </xf>
    <xf numFmtId="3" fontId="11" fillId="18" borderId="22" xfId="6" applyNumberFormat="1" applyFont="1" applyFill="1" applyBorder="1" applyAlignment="1">
      <alignment vertical="center"/>
    </xf>
    <xf numFmtId="3" fontId="11" fillId="18" borderId="32" xfId="6" applyNumberFormat="1" applyFont="1" applyFill="1" applyBorder="1" applyAlignment="1">
      <alignment vertical="center"/>
    </xf>
    <xf numFmtId="3" fontId="11" fillId="18" borderId="47" xfId="6" applyNumberFormat="1" applyFont="1" applyFill="1" applyBorder="1" applyAlignment="1">
      <alignment vertical="center"/>
    </xf>
    <xf numFmtId="3" fontId="11" fillId="18" borderId="24" xfId="6" applyNumberFormat="1" applyFont="1" applyFill="1" applyBorder="1" applyAlignment="1">
      <alignment vertical="center"/>
    </xf>
    <xf numFmtId="3" fontId="14" fillId="13" borderId="41" xfId="0" applyNumberFormat="1" applyFont="1" applyFill="1" applyBorder="1" applyAlignment="1">
      <alignment vertical="center"/>
    </xf>
    <xf numFmtId="3" fontId="8" fillId="13" borderId="40" xfId="0" applyNumberFormat="1" applyFont="1" applyFill="1" applyBorder="1" applyAlignment="1">
      <alignment vertical="center"/>
    </xf>
    <xf numFmtId="3" fontId="8" fillId="13" borderId="46" xfId="0" applyNumberFormat="1" applyFont="1" applyFill="1" applyBorder="1" applyAlignment="1">
      <alignment vertical="center"/>
    </xf>
    <xf numFmtId="3" fontId="8" fillId="13" borderId="50" xfId="0" applyNumberFormat="1" applyFont="1" applyFill="1" applyBorder="1" applyAlignment="1">
      <alignment vertical="center"/>
    </xf>
    <xf numFmtId="3" fontId="8" fillId="13" borderId="41" xfId="0" applyNumberFormat="1" applyFont="1" applyFill="1" applyBorder="1" applyAlignment="1">
      <alignment vertical="center"/>
    </xf>
    <xf numFmtId="3" fontId="8" fillId="0" borderId="23" xfId="0" applyNumberFormat="1" applyFont="1" applyBorder="1"/>
    <xf numFmtId="3" fontId="14" fillId="0" borderId="48" xfId="0" applyNumberFormat="1" applyFont="1" applyBorder="1"/>
    <xf numFmtId="3" fontId="8" fillId="13" borderId="23" xfId="0" applyNumberFormat="1" applyFont="1" applyFill="1" applyBorder="1" applyAlignment="1">
      <alignment vertical="center"/>
    </xf>
    <xf numFmtId="3" fontId="8" fillId="13" borderId="48" xfId="0" applyNumberFormat="1" applyFont="1" applyFill="1" applyBorder="1" applyAlignment="1">
      <alignment vertical="center"/>
    </xf>
    <xf numFmtId="3" fontId="14" fillId="18" borderId="48" xfId="0" applyNumberFormat="1" applyFont="1" applyFill="1" applyBorder="1"/>
    <xf numFmtId="3" fontId="11" fillId="0" borderId="31" xfId="0" applyNumberFormat="1" applyFont="1" applyBorder="1"/>
    <xf numFmtId="3" fontId="14" fillId="13" borderId="48" xfId="0" applyNumberFormat="1" applyFont="1" applyFill="1" applyBorder="1" applyAlignment="1">
      <alignment vertical="center"/>
    </xf>
    <xf numFmtId="3" fontId="14" fillId="3" borderId="48" xfId="0" applyNumberFormat="1" applyFont="1" applyFill="1" applyBorder="1" applyAlignment="1">
      <alignment vertical="center"/>
    </xf>
    <xf numFmtId="3" fontId="14" fillId="0" borderId="49" xfId="0" applyNumberFormat="1" applyFont="1" applyBorder="1"/>
    <xf numFmtId="3" fontId="15" fillId="10" borderId="35" xfId="6" applyNumberFormat="1" applyFont="1" applyFill="1" applyBorder="1" applyAlignment="1">
      <alignment vertical="center"/>
    </xf>
    <xf numFmtId="3" fontId="3" fillId="10" borderId="35" xfId="6" applyNumberFormat="1" applyFont="1" applyFill="1" applyBorder="1" applyAlignment="1">
      <alignment vertical="center"/>
    </xf>
    <xf numFmtId="3" fontId="3" fillId="10" borderId="30" xfId="6" applyNumberFormat="1" applyFont="1" applyFill="1" applyBorder="1" applyAlignment="1">
      <alignment vertical="center"/>
    </xf>
    <xf numFmtId="3" fontId="15" fillId="10" borderId="42" xfId="6" applyNumberFormat="1" applyFont="1" applyFill="1" applyBorder="1" applyAlignment="1">
      <alignment vertical="center"/>
    </xf>
    <xf numFmtId="3" fontId="3" fillId="10" borderId="29" xfId="6" applyNumberFormat="1" applyFont="1" applyFill="1" applyBorder="1" applyAlignment="1">
      <alignment vertical="center"/>
    </xf>
    <xf numFmtId="3" fontId="15" fillId="10" borderId="29" xfId="6" applyNumberFormat="1" applyFont="1" applyFill="1" applyBorder="1" applyAlignment="1">
      <alignment vertical="center"/>
    </xf>
    <xf numFmtId="3" fontId="11" fillId="12" borderId="22" xfId="6" applyNumberFormat="1" applyFont="1" applyFill="1" applyBorder="1" applyAlignment="1">
      <alignment vertical="center"/>
    </xf>
    <xf numFmtId="3" fontId="11" fillId="12" borderId="32" xfId="6" applyNumberFormat="1" applyFont="1" applyFill="1" applyBorder="1" applyAlignment="1">
      <alignment vertical="center"/>
    </xf>
    <xf numFmtId="3" fontId="14" fillId="12" borderId="47" xfId="6" applyNumberFormat="1" applyFont="1" applyFill="1" applyBorder="1" applyAlignment="1">
      <alignment vertical="center"/>
    </xf>
    <xf numFmtId="3" fontId="11" fillId="5" borderId="23" xfId="6" applyNumberFormat="1" applyFont="1" applyFill="1" applyBorder="1" applyAlignment="1">
      <alignment vertical="center"/>
    </xf>
    <xf numFmtId="3" fontId="11" fillId="5" borderId="31" xfId="6" applyNumberFormat="1" applyFont="1" applyFill="1" applyBorder="1" applyAlignment="1">
      <alignment vertical="center"/>
    </xf>
    <xf numFmtId="3" fontId="14" fillId="5" borderId="48" xfId="6" applyNumberFormat="1" applyFont="1" applyFill="1" applyBorder="1" applyAlignment="1">
      <alignment vertical="center"/>
    </xf>
    <xf numFmtId="3" fontId="11" fillId="18" borderId="23" xfId="6" applyNumberFormat="1" applyFont="1" applyFill="1" applyBorder="1" applyAlignment="1">
      <alignment vertical="center"/>
    </xf>
    <xf numFmtId="3" fontId="11" fillId="18" borderId="31" xfId="6" applyNumberFormat="1" applyFont="1" applyFill="1" applyBorder="1" applyAlignment="1">
      <alignment vertical="center"/>
    </xf>
    <xf numFmtId="3" fontId="14" fillId="18" borderId="48" xfId="6" applyNumberFormat="1" applyFont="1" applyFill="1" applyBorder="1" applyAlignment="1">
      <alignment vertical="center"/>
    </xf>
    <xf numFmtId="3" fontId="8" fillId="0" borderId="34" xfId="0" applyNumberFormat="1" applyFont="1" applyBorder="1"/>
    <xf numFmtId="3" fontId="8" fillId="0" borderId="43" xfId="0" applyNumberFormat="1" applyFont="1" applyBorder="1"/>
    <xf numFmtId="3" fontId="14" fillId="0" borderId="51" xfId="0" applyNumberFormat="1" applyFont="1" applyBorder="1"/>
    <xf numFmtId="3" fontId="8" fillId="3" borderId="48" xfId="0" applyNumberFormat="1" applyFont="1" applyFill="1" applyBorder="1" applyAlignment="1">
      <alignment vertical="center"/>
    </xf>
    <xf numFmtId="3" fontId="8" fillId="18" borderId="48" xfId="0" applyNumberFormat="1" applyFont="1" applyFill="1" applyBorder="1"/>
    <xf numFmtId="3" fontId="14" fillId="0" borderId="7" xfId="0" applyNumberFormat="1" applyFont="1" applyBorder="1"/>
    <xf numFmtId="3" fontId="8" fillId="0" borderId="7" xfId="0" applyNumberFormat="1" applyFont="1" applyBorder="1"/>
    <xf numFmtId="3" fontId="14" fillId="0" borderId="59" xfId="0" applyNumberFormat="1" applyFont="1" applyBorder="1"/>
    <xf numFmtId="3" fontId="0" fillId="0" borderId="0" xfId="0" applyNumberFormat="1" applyFill="1"/>
    <xf numFmtId="4" fontId="8" fillId="0" borderId="0" xfId="0" applyNumberFormat="1" applyFont="1" applyBorder="1" applyAlignment="1">
      <alignment vertical="center"/>
    </xf>
    <xf numFmtId="4" fontId="8" fillId="0" borderId="60" xfId="0" applyNumberFormat="1" applyFont="1" applyBorder="1"/>
    <xf numFmtId="3" fontId="14" fillId="0" borderId="54" xfId="0" applyNumberFormat="1" applyFont="1" applyBorder="1"/>
    <xf numFmtId="4" fontId="8" fillId="0" borderId="11" xfId="0" applyNumberFormat="1" applyFont="1" applyBorder="1"/>
    <xf numFmtId="3" fontId="14" fillId="0" borderId="36" xfId="0" applyNumberFormat="1" applyFont="1" applyBorder="1"/>
    <xf numFmtId="3" fontId="8" fillId="0" borderId="36" xfId="0" applyNumberFormat="1" applyFont="1" applyBorder="1"/>
    <xf numFmtId="0" fontId="1" fillId="3" borderId="64" xfId="5" quotePrefix="1" applyFill="1" applyBorder="1">
      <alignment horizontal="left" vertical="center" indent="1" justifyLastLine="1"/>
    </xf>
    <xf numFmtId="0" fontId="1" fillId="3" borderId="63" xfId="5" quotePrefix="1" applyFill="1" applyBorder="1" applyAlignment="1">
      <alignment horizontal="left" vertical="center" indent="8" justifyLastLine="1"/>
    </xf>
    <xf numFmtId="4" fontId="8" fillId="0" borderId="59" xfId="0" applyNumberFormat="1" applyFont="1" applyBorder="1"/>
    <xf numFmtId="3" fontId="14" fillId="0" borderId="58" xfId="0" applyNumberFormat="1" applyFont="1" applyBorder="1"/>
    <xf numFmtId="3" fontId="8" fillId="0" borderId="58" xfId="0" applyNumberFormat="1" applyFont="1" applyBorder="1"/>
    <xf numFmtId="0" fontId="1" fillId="3" borderId="65" xfId="5" quotePrefix="1" applyFill="1" applyBorder="1" applyAlignment="1">
      <alignment horizontal="left" vertical="center" indent="8" justifyLastLine="1"/>
    </xf>
    <xf numFmtId="0" fontId="1" fillId="3" borderId="66" xfId="5" quotePrefix="1" applyFill="1" applyBorder="1">
      <alignment horizontal="left" vertical="center" indent="1" justifyLastLine="1"/>
    </xf>
    <xf numFmtId="0" fontId="1" fillId="3" borderId="67" xfId="5" quotePrefix="1" applyFill="1" applyBorder="1" applyAlignment="1">
      <alignment horizontal="left" vertical="center" indent="8" justifyLastLine="1"/>
    </xf>
    <xf numFmtId="0" fontId="1" fillId="3" borderId="68" xfId="5" quotePrefix="1" applyFill="1" applyBorder="1">
      <alignment horizontal="left" vertical="center" indent="1" justifyLastLine="1"/>
    </xf>
    <xf numFmtId="164" fontId="1" fillId="13" borderId="63" xfId="5" quotePrefix="1" applyNumberFormat="1" applyFill="1" applyBorder="1" applyAlignment="1">
      <alignment horizontal="left" vertical="center" indent="7" justifyLastLine="1"/>
    </xf>
    <xf numFmtId="0" fontId="1" fillId="13" borderId="64" xfId="5" quotePrefix="1" applyFill="1" applyBorder="1">
      <alignment horizontal="left" vertical="center" indent="1" justifyLastLine="1"/>
    </xf>
    <xf numFmtId="4" fontId="8" fillId="13" borderId="0" xfId="0" applyNumberFormat="1" applyFont="1" applyFill="1" applyBorder="1" applyAlignment="1">
      <alignment vertical="center"/>
    </xf>
    <xf numFmtId="4" fontId="8" fillId="13" borderId="0" xfId="0" applyNumberFormat="1" applyFont="1" applyFill="1" applyBorder="1"/>
    <xf numFmtId="4" fontId="8" fillId="13" borderId="60" xfId="0" applyNumberFormat="1" applyFont="1" applyFill="1" applyBorder="1"/>
    <xf numFmtId="4" fontId="8" fillId="13" borderId="8" xfId="0" applyNumberFormat="1" applyFont="1" applyFill="1" applyBorder="1"/>
    <xf numFmtId="4" fontId="8" fillId="13" borderId="31" xfId="0" applyNumberFormat="1" applyFont="1" applyFill="1" applyBorder="1"/>
    <xf numFmtId="4" fontId="8" fillId="13" borderId="25" xfId="0" applyNumberFormat="1" applyFont="1" applyFill="1" applyBorder="1"/>
    <xf numFmtId="4" fontId="8" fillId="13" borderId="11" xfId="0" applyNumberFormat="1" applyFont="1" applyFill="1" applyBorder="1"/>
    <xf numFmtId="3" fontId="14" fillId="13" borderId="25" xfId="0" applyNumberFormat="1" applyFont="1" applyFill="1" applyBorder="1"/>
    <xf numFmtId="3" fontId="8" fillId="13" borderId="25" xfId="0" applyNumberFormat="1" applyFont="1" applyFill="1" applyBorder="1"/>
    <xf numFmtId="3" fontId="14" fillId="13" borderId="36" xfId="0" applyNumberFormat="1" applyFont="1" applyFill="1" applyBorder="1"/>
    <xf numFmtId="3" fontId="8" fillId="13" borderId="36" xfId="0" applyNumberFormat="1" applyFont="1" applyFill="1" applyBorder="1"/>
    <xf numFmtId="4" fontId="8" fillId="13" borderId="14" xfId="0" applyNumberFormat="1" applyFont="1" applyFill="1" applyBorder="1"/>
    <xf numFmtId="4" fontId="8" fillId="13" borderId="54" xfId="0" applyNumberFormat="1" applyFont="1" applyFill="1" applyBorder="1"/>
    <xf numFmtId="4" fontId="8" fillId="13" borderId="61" xfId="0" applyNumberFormat="1" applyFont="1" applyFill="1" applyBorder="1"/>
    <xf numFmtId="3" fontId="14" fillId="13" borderId="54" xfId="0" applyNumberFormat="1" applyFont="1" applyFill="1" applyBorder="1"/>
    <xf numFmtId="3" fontId="8" fillId="13" borderId="54" xfId="0" applyNumberFormat="1" applyFont="1" applyFill="1" applyBorder="1"/>
    <xf numFmtId="3" fontId="14" fillId="13" borderId="62" xfId="0" applyNumberFormat="1" applyFont="1" applyFill="1" applyBorder="1"/>
    <xf numFmtId="3" fontId="8" fillId="13" borderId="62" xfId="0" applyNumberFormat="1" applyFont="1" applyFill="1" applyBorder="1"/>
    <xf numFmtId="4" fontId="8" fillId="13" borderId="9" xfId="0" applyNumberFormat="1" applyFont="1" applyFill="1" applyBorder="1"/>
    <xf numFmtId="4" fontId="8" fillId="13" borderId="33" xfId="0" applyNumberFormat="1" applyFont="1" applyFill="1" applyBorder="1"/>
    <xf numFmtId="4" fontId="8" fillId="13" borderId="26" xfId="0" applyNumberFormat="1" applyFont="1" applyFill="1" applyBorder="1"/>
    <xf numFmtId="4" fontId="8" fillId="13" borderId="59" xfId="0" applyNumberFormat="1" applyFont="1" applyFill="1" applyBorder="1"/>
    <xf numFmtId="3" fontId="14" fillId="13" borderId="26" xfId="0" applyNumberFormat="1" applyFont="1" applyFill="1" applyBorder="1"/>
    <xf numFmtId="3" fontId="8" fillId="13" borderId="26" xfId="0" applyNumberFormat="1" applyFont="1" applyFill="1" applyBorder="1"/>
    <xf numFmtId="3" fontId="14" fillId="13" borderId="58" xfId="0" applyNumberFormat="1" applyFont="1" applyFill="1" applyBorder="1"/>
    <xf numFmtId="3" fontId="8" fillId="13" borderId="58" xfId="0" applyNumberFormat="1" applyFont="1" applyFill="1" applyBorder="1"/>
    <xf numFmtId="3" fontId="14" fillId="3" borderId="25" xfId="5" quotePrefix="1" applyNumberFormat="1" applyFont="1" applyFill="1" applyBorder="1" applyAlignment="1">
      <alignment horizontal="right" vertical="center" wrapText="1" justifyLastLine="1"/>
    </xf>
    <xf numFmtId="3" fontId="14" fillId="0" borderId="41" xfId="0" applyNumberFormat="1" applyFont="1" applyBorder="1"/>
    <xf numFmtId="0" fontId="5" fillId="0" borderId="16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44" xfId="0" applyBorder="1" applyAlignment="1">
      <alignment horizontal="center"/>
    </xf>
  </cellXfs>
  <cellStyles count="9">
    <cellStyle name="Normal" xfId="0" builtinId="0"/>
    <cellStyle name="SAPBEXaggData" xfId="6" xr:uid="{00000000-0005-0000-0000-000001000000}"/>
    <cellStyle name="SAPBEXchaText" xfId="1" xr:uid="{00000000-0005-0000-0000-000002000000}"/>
    <cellStyle name="SAPBEXformats" xfId="8" xr:uid="{00000000-0005-0000-0000-000003000000}"/>
    <cellStyle name="SAPBEXHLevel0" xfId="2" xr:uid="{00000000-0005-0000-0000-000004000000}"/>
    <cellStyle name="SAPBEXHLevel1" xfId="3" xr:uid="{00000000-0005-0000-0000-000005000000}"/>
    <cellStyle name="SAPBEXHLevel2" xfId="4" xr:uid="{00000000-0005-0000-0000-000006000000}"/>
    <cellStyle name="SAPBEXHLevel3" xfId="5" xr:uid="{00000000-0005-0000-0000-000007000000}"/>
    <cellStyle name="SAPBEXstdItem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G257"/>
  <sheetViews>
    <sheetView workbookViewId="0">
      <selection activeCell="O13" sqref="O13"/>
    </sheetView>
  </sheetViews>
  <sheetFormatPr defaultRowHeight="15" x14ac:dyDescent="0.25"/>
  <cols>
    <col min="1" max="1" width="16.85546875" customWidth="1"/>
    <col min="2" max="2" width="43.7109375" customWidth="1"/>
    <col min="3" max="3" width="13" hidden="1" customWidth="1"/>
    <col min="4" max="4" width="14.42578125" hidden="1" customWidth="1"/>
    <col min="5" max="5" width="13.5703125" hidden="1" customWidth="1"/>
    <col min="6" max="7" width="13.5703125" customWidth="1"/>
    <col min="8" max="8" width="13.5703125" hidden="1" customWidth="1"/>
    <col min="9" max="9" width="11.140625" hidden="1" customWidth="1"/>
    <col min="10" max="10" width="12.7109375" customWidth="1"/>
    <col min="11" max="11" width="12.140625" hidden="1" customWidth="1"/>
    <col min="12" max="12" width="10.140625" hidden="1" customWidth="1"/>
    <col min="13" max="13" width="13.140625" customWidth="1"/>
    <col min="14" max="14" width="12.140625" hidden="1" customWidth="1"/>
    <col min="15" max="15" width="12" customWidth="1"/>
    <col min="16" max="16" width="5.140625" style="75" customWidth="1"/>
    <col min="17" max="17" width="14.5703125" style="75" customWidth="1"/>
    <col min="18" max="18" width="13.85546875" style="75" bestFit="1" customWidth="1"/>
    <col min="19" max="19" width="9.140625" style="75"/>
    <col min="20" max="20" width="14.28515625" style="75" customWidth="1"/>
    <col min="21" max="21" width="4.7109375" style="75" customWidth="1"/>
    <col min="22" max="22" width="14.140625" style="75" customWidth="1"/>
    <col min="23" max="59" width="9.140625" style="75"/>
  </cols>
  <sheetData>
    <row r="2" spans="1:59" ht="15.75" thickBot="1" x14ac:dyDescent="0.3"/>
    <row r="3" spans="1:59" ht="24" thickBot="1" x14ac:dyDescent="0.3">
      <c r="A3" s="1" t="s">
        <v>0</v>
      </c>
      <c r="B3" s="114" t="s">
        <v>0</v>
      </c>
      <c r="C3" s="46" t="s">
        <v>1</v>
      </c>
      <c r="D3" s="112" t="s">
        <v>148</v>
      </c>
      <c r="E3" s="46" t="s">
        <v>153</v>
      </c>
      <c r="F3" s="447" t="s">
        <v>177</v>
      </c>
      <c r="G3" s="448"/>
      <c r="H3" s="447" t="s">
        <v>178</v>
      </c>
      <c r="I3" s="449"/>
      <c r="J3" s="448"/>
      <c r="K3" s="447" t="s">
        <v>154</v>
      </c>
      <c r="L3" s="449"/>
      <c r="M3" s="448"/>
      <c r="N3" s="447" t="s">
        <v>179</v>
      </c>
      <c r="O3" s="448"/>
    </row>
    <row r="4" spans="1:59" ht="24" thickBot="1" x14ac:dyDescent="0.3">
      <c r="A4" s="1"/>
      <c r="B4" s="114"/>
      <c r="C4" s="46"/>
      <c r="D4" s="112"/>
      <c r="E4" s="46"/>
      <c r="F4" s="46" t="s">
        <v>160</v>
      </c>
      <c r="G4" s="46" t="s">
        <v>161</v>
      </c>
      <c r="H4" s="46" t="s">
        <v>163</v>
      </c>
      <c r="I4" s="46" t="s">
        <v>162</v>
      </c>
      <c r="J4" s="155" t="s">
        <v>169</v>
      </c>
      <c r="K4" s="46" t="s">
        <v>171</v>
      </c>
      <c r="L4" s="46" t="s">
        <v>172</v>
      </c>
      <c r="M4" s="154" t="s">
        <v>170</v>
      </c>
      <c r="N4" s="46" t="s">
        <v>173</v>
      </c>
      <c r="O4" s="155" t="s">
        <v>180</v>
      </c>
    </row>
    <row r="5" spans="1:59" ht="15.75" thickBot="1" x14ac:dyDescent="0.3">
      <c r="A5" s="1"/>
      <c r="B5" s="114" t="s">
        <v>0</v>
      </c>
      <c r="C5" s="168" t="s">
        <v>2</v>
      </c>
      <c r="D5" s="113" t="s">
        <v>2</v>
      </c>
      <c r="E5" s="47" t="s">
        <v>2</v>
      </c>
      <c r="F5" s="47" t="s">
        <v>2</v>
      </c>
      <c r="G5" s="47" t="s">
        <v>2</v>
      </c>
      <c r="H5" s="47" t="s">
        <v>2</v>
      </c>
      <c r="I5" s="47" t="s">
        <v>2</v>
      </c>
      <c r="J5" s="47" t="s">
        <v>2</v>
      </c>
      <c r="K5" s="47" t="s">
        <v>2</v>
      </c>
      <c r="L5" s="47" t="s">
        <v>2</v>
      </c>
      <c r="M5" s="47" t="s">
        <v>2</v>
      </c>
      <c r="N5" s="47" t="s">
        <v>2</v>
      </c>
      <c r="O5" s="47" t="s">
        <v>2</v>
      </c>
      <c r="R5" s="223">
        <v>2021</v>
      </c>
      <c r="T5" s="223">
        <v>2022</v>
      </c>
      <c r="V5" s="223">
        <v>2023</v>
      </c>
    </row>
    <row r="6" spans="1:59" ht="23.25" thickBot="1" x14ac:dyDescent="0.3">
      <c r="A6" s="117" t="s">
        <v>3</v>
      </c>
      <c r="B6" s="182" t="s">
        <v>4</v>
      </c>
      <c r="C6" s="169"/>
      <c r="D6" s="118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R6" s="401">
        <v>152781570</v>
      </c>
      <c r="S6" s="401"/>
      <c r="T6" s="401">
        <v>150450926</v>
      </c>
      <c r="U6" s="401"/>
      <c r="V6" s="401">
        <v>152350426</v>
      </c>
    </row>
    <row r="7" spans="1:59" x14ac:dyDescent="0.25">
      <c r="A7" s="115" t="s">
        <v>5</v>
      </c>
      <c r="B7" s="183" t="s">
        <v>6</v>
      </c>
      <c r="C7" s="170" t="e">
        <f t="shared" ref="C7:O7" si="0">C19+C81+C104+C120</f>
        <v>#REF!</v>
      </c>
      <c r="D7" s="116" t="e">
        <f t="shared" si="0"/>
        <v>#REF!</v>
      </c>
      <c r="E7" s="116" t="e">
        <f t="shared" si="0"/>
        <v>#REF!</v>
      </c>
      <c r="F7" s="116">
        <f>F19+F81+F104+F120</f>
        <v>126803894</v>
      </c>
      <c r="G7" s="116">
        <f t="shared" si="0"/>
        <v>90367716.769999981</v>
      </c>
      <c r="H7" s="116" t="e">
        <f t="shared" si="0"/>
        <v>#REF!</v>
      </c>
      <c r="I7" s="116" t="e">
        <f t="shared" si="0"/>
        <v>#REF!</v>
      </c>
      <c r="J7" s="232">
        <f t="shared" si="0"/>
        <v>137706202.56999999</v>
      </c>
      <c r="K7" s="232" t="e">
        <f t="shared" si="0"/>
        <v>#REF!</v>
      </c>
      <c r="L7" s="232" t="e">
        <f t="shared" si="0"/>
        <v>#REF!</v>
      </c>
      <c r="M7" s="232">
        <f t="shared" si="0"/>
        <v>135708778</v>
      </c>
      <c r="N7" s="232" t="e">
        <f t="shared" si="0"/>
        <v>#REF!</v>
      </c>
      <c r="O7" s="232">
        <f t="shared" si="0"/>
        <v>137449674</v>
      </c>
      <c r="R7" s="401"/>
      <c r="S7" s="401"/>
      <c r="T7" s="401"/>
      <c r="U7" s="401"/>
      <c r="V7" s="401"/>
    </row>
    <row r="8" spans="1:59" x14ac:dyDescent="0.25">
      <c r="A8" s="2" t="s">
        <v>150</v>
      </c>
      <c r="B8" s="184" t="s">
        <v>151</v>
      </c>
      <c r="C8" s="171">
        <f t="shared" ref="C8:N8" si="1">C134+C212</f>
        <v>47599911.369999997</v>
      </c>
      <c r="D8" s="48">
        <f t="shared" si="1"/>
        <v>14541593</v>
      </c>
      <c r="E8" s="48">
        <f t="shared" si="1"/>
        <v>2195692.5799999996</v>
      </c>
      <c r="F8" s="48">
        <f>F134+F212</f>
        <v>13085434</v>
      </c>
      <c r="G8" s="48">
        <f>G134+G212</f>
        <v>5869079.1600000001</v>
      </c>
      <c r="H8" s="48">
        <f>H134+H212</f>
        <v>12579354</v>
      </c>
      <c r="I8" s="48">
        <f>I134+I212</f>
        <v>15618865</v>
      </c>
      <c r="J8" s="233">
        <f>J134+J212</f>
        <v>15075367.43</v>
      </c>
      <c r="K8" s="233">
        <f t="shared" si="1"/>
        <v>11924984</v>
      </c>
      <c r="L8" s="233">
        <f t="shared" si="1"/>
        <v>14671135</v>
      </c>
      <c r="M8" s="233">
        <f>M134+M212</f>
        <v>14742148.43</v>
      </c>
      <c r="N8" s="233">
        <f t="shared" si="1"/>
        <v>14371440</v>
      </c>
      <c r="O8" s="233">
        <f>O134+O212</f>
        <v>14900752.43</v>
      </c>
      <c r="R8" s="401">
        <f>J7+J8</f>
        <v>152781570</v>
      </c>
      <c r="S8" s="401"/>
      <c r="T8" s="401">
        <f>M7+M8</f>
        <v>150450926.43000001</v>
      </c>
      <c r="U8" s="401"/>
      <c r="V8" s="401">
        <f>O7+O8</f>
        <v>152350426.43000001</v>
      </c>
    </row>
    <row r="9" spans="1:59" x14ac:dyDescent="0.25">
      <c r="A9" s="2" t="s">
        <v>149</v>
      </c>
      <c r="B9" s="184" t="s">
        <v>144</v>
      </c>
      <c r="C9" s="86">
        <f>C133</f>
        <v>46937128.599999994</v>
      </c>
      <c r="D9" s="48">
        <f t="shared" ref="D9:L9" si="2">D172</f>
        <v>74101860</v>
      </c>
      <c r="E9" s="48">
        <f t="shared" si="2"/>
        <v>12443941.239999998</v>
      </c>
      <c r="F9" s="48">
        <f t="shared" si="2"/>
        <v>71980343</v>
      </c>
      <c r="G9" s="48">
        <f t="shared" si="2"/>
        <v>31940873.080000006</v>
      </c>
      <c r="H9" s="48">
        <f t="shared" si="2"/>
        <v>61845035</v>
      </c>
      <c r="I9" s="48">
        <f t="shared" si="2"/>
        <v>82807035</v>
      </c>
      <c r="J9" s="233">
        <f>J172</f>
        <v>79556066.75</v>
      </c>
      <c r="K9" s="233">
        <f t="shared" si="2"/>
        <v>58035585</v>
      </c>
      <c r="L9" s="233">
        <f t="shared" si="2"/>
        <v>77570235</v>
      </c>
      <c r="M9" s="233">
        <f>M172</f>
        <v>75128014.75</v>
      </c>
      <c r="N9" s="233">
        <f>N172</f>
        <v>75867985</v>
      </c>
      <c r="O9" s="233">
        <f>O172</f>
        <v>81316365.75</v>
      </c>
      <c r="R9" s="401"/>
      <c r="S9" s="401"/>
      <c r="T9" s="401"/>
      <c r="U9" s="401"/>
      <c r="V9" s="401"/>
    </row>
    <row r="10" spans="1:59" x14ac:dyDescent="0.25">
      <c r="A10" s="2" t="s">
        <v>152</v>
      </c>
      <c r="B10" s="184" t="s">
        <v>145</v>
      </c>
      <c r="C10" s="86">
        <f>C211</f>
        <v>662782.77</v>
      </c>
      <c r="D10" s="48">
        <f t="shared" ref="D10:O10" si="3">D235</f>
        <v>1603194</v>
      </c>
      <c r="E10" s="48">
        <f t="shared" si="3"/>
        <v>4265.63</v>
      </c>
      <c r="F10" s="48">
        <f t="shared" si="3"/>
        <v>998200</v>
      </c>
      <c r="G10" s="48">
        <f t="shared" si="3"/>
        <v>697363.17</v>
      </c>
      <c r="H10" s="48">
        <f t="shared" si="3"/>
        <v>1603194</v>
      </c>
      <c r="I10" s="48">
        <f t="shared" si="3"/>
        <v>1968650</v>
      </c>
      <c r="J10" s="233">
        <f t="shared" si="3"/>
        <v>1596950</v>
      </c>
      <c r="K10" s="233">
        <f t="shared" si="3"/>
        <v>1603194</v>
      </c>
      <c r="L10" s="233">
        <f t="shared" si="3"/>
        <v>1876775</v>
      </c>
      <c r="M10" s="233">
        <f t="shared" si="3"/>
        <v>2014825</v>
      </c>
      <c r="N10" s="233">
        <f>N235</f>
        <v>1876775</v>
      </c>
      <c r="O10" s="233">
        <f t="shared" si="3"/>
        <v>1955325</v>
      </c>
      <c r="Q10" s="75" t="s">
        <v>174</v>
      </c>
      <c r="R10" s="401">
        <f>R8-R6</f>
        <v>0</v>
      </c>
      <c r="S10" s="401"/>
      <c r="T10" s="401">
        <f>T8-T6</f>
        <v>0.43000000715255737</v>
      </c>
      <c r="U10" s="401"/>
      <c r="V10" s="401">
        <f>V8-V6</f>
        <v>0.43000000715255737</v>
      </c>
    </row>
    <row r="11" spans="1:59" x14ac:dyDescent="0.25">
      <c r="A11" s="2" t="s">
        <v>7</v>
      </c>
      <c r="B11" s="185" t="s">
        <v>8</v>
      </c>
      <c r="C11" s="86">
        <f t="shared" ref="C11:N11" si="4">C72</f>
        <v>282070.21999999997</v>
      </c>
      <c r="D11" s="48">
        <f t="shared" si="4"/>
        <v>300000</v>
      </c>
      <c r="E11" s="48">
        <f t="shared" si="4"/>
        <v>26056.61</v>
      </c>
      <c r="F11" s="48">
        <f t="shared" si="4"/>
        <v>200000</v>
      </c>
      <c r="G11" s="48">
        <f t="shared" si="4"/>
        <v>86554.9</v>
      </c>
      <c r="H11" s="48">
        <f t="shared" si="4"/>
        <v>300000</v>
      </c>
      <c r="I11" s="48">
        <f t="shared" si="4"/>
        <v>300000</v>
      </c>
      <c r="J11" s="233">
        <f t="shared" si="4"/>
        <v>300000</v>
      </c>
      <c r="K11" s="233">
        <f t="shared" si="4"/>
        <v>300000</v>
      </c>
      <c r="L11" s="233">
        <f t="shared" si="4"/>
        <v>300000</v>
      </c>
      <c r="M11" s="233">
        <f t="shared" ref="M11" si="5">M72</f>
        <v>300000</v>
      </c>
      <c r="N11" s="233">
        <f t="shared" si="4"/>
        <v>300000</v>
      </c>
      <c r="O11" s="233">
        <f t="shared" ref="O11" si="6">O72</f>
        <v>300000</v>
      </c>
      <c r="Q11" s="224"/>
      <c r="R11" s="203"/>
    </row>
    <row r="12" spans="1:59" x14ac:dyDescent="0.25">
      <c r="A12" s="2" t="s">
        <v>9</v>
      </c>
      <c r="B12" s="184" t="s">
        <v>10</v>
      </c>
      <c r="C12" s="86">
        <f>C77</f>
        <v>99918</v>
      </c>
      <c r="D12" s="48">
        <f t="shared" ref="D12:I12" si="7">D77+D113</f>
        <v>464000</v>
      </c>
      <c r="E12" s="48">
        <f t="shared" si="7"/>
        <v>0</v>
      </c>
      <c r="F12" s="48">
        <f t="shared" si="7"/>
        <v>160000</v>
      </c>
      <c r="G12" s="48">
        <f t="shared" si="7"/>
        <v>16608.849999999999</v>
      </c>
      <c r="H12" s="48">
        <f t="shared" si="7"/>
        <v>360200</v>
      </c>
      <c r="I12" s="48">
        <f t="shared" si="7"/>
        <v>360200</v>
      </c>
      <c r="J12" s="233">
        <f>J77</f>
        <v>160000</v>
      </c>
      <c r="K12" s="233">
        <f>K77+K113</f>
        <v>160000</v>
      </c>
      <c r="L12" s="233">
        <f>L77+L113</f>
        <v>160000</v>
      </c>
      <c r="M12" s="233">
        <f t="shared" ref="M12:O12" si="8">M77</f>
        <v>160000</v>
      </c>
      <c r="N12" s="233">
        <f t="shared" si="8"/>
        <v>160000</v>
      </c>
      <c r="O12" s="233">
        <f t="shared" si="8"/>
        <v>160000</v>
      </c>
      <c r="R12" s="203"/>
    </row>
    <row r="13" spans="1:59" x14ac:dyDescent="0.25">
      <c r="A13" s="2" t="s">
        <v>184</v>
      </c>
      <c r="B13" s="184" t="s">
        <v>183</v>
      </c>
      <c r="C13" s="221"/>
      <c r="D13" s="222"/>
      <c r="E13" s="222"/>
      <c r="F13" s="222">
        <f>F115</f>
        <v>0</v>
      </c>
      <c r="G13" s="222">
        <f>G115</f>
        <v>0</v>
      </c>
      <c r="H13" s="222">
        <f>H115</f>
        <v>70000</v>
      </c>
      <c r="I13" s="222">
        <f>I115</f>
        <v>70000</v>
      </c>
      <c r="J13" s="234"/>
      <c r="K13" s="234">
        <f>K115</f>
        <v>0</v>
      </c>
      <c r="L13" s="234">
        <f>L115</f>
        <v>0</v>
      </c>
      <c r="M13" s="234"/>
      <c r="N13" s="234">
        <f>N115</f>
        <v>0</v>
      </c>
      <c r="O13" s="234"/>
    </row>
    <row r="14" spans="1:59" s="122" customFormat="1" ht="15.75" thickBot="1" x14ac:dyDescent="0.3">
      <c r="A14" s="3" t="s">
        <v>11</v>
      </c>
      <c r="B14" s="186"/>
      <c r="C14" s="172" t="e">
        <f t="shared" ref="C14:O14" si="9">SUM(C7:C12)</f>
        <v>#REF!</v>
      </c>
      <c r="D14" s="120" t="e">
        <f t="shared" si="9"/>
        <v>#REF!</v>
      </c>
      <c r="E14" s="120" t="e">
        <f t="shared" si="9"/>
        <v>#REF!</v>
      </c>
      <c r="F14" s="120">
        <f t="shared" si="9"/>
        <v>213227871</v>
      </c>
      <c r="G14" s="120">
        <f t="shared" si="9"/>
        <v>128978195.92999999</v>
      </c>
      <c r="H14" s="120" t="e">
        <f t="shared" si="9"/>
        <v>#REF!</v>
      </c>
      <c r="I14" s="120" t="e">
        <f>SUM(I7:I12)</f>
        <v>#REF!</v>
      </c>
      <c r="J14" s="235">
        <f>SUM(J7:J12)</f>
        <v>234394586.75</v>
      </c>
      <c r="K14" s="235" t="e">
        <f>SUM(K7:K12)</f>
        <v>#REF!</v>
      </c>
      <c r="L14" s="235" t="e">
        <f>SUM(L7:L12)</f>
        <v>#REF!</v>
      </c>
      <c r="M14" s="235">
        <f>SUM(M7:M12)</f>
        <v>228053766.18000001</v>
      </c>
      <c r="N14" s="235" t="e">
        <f t="shared" ref="N14" si="10">SUM(N7:N12)</f>
        <v>#REF!</v>
      </c>
      <c r="O14" s="235">
        <f t="shared" si="9"/>
        <v>236082117.18000001</v>
      </c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</row>
    <row r="15" spans="1:59" ht="15.75" thickBot="1" x14ac:dyDescent="0.3">
      <c r="A15" s="4" t="s">
        <v>12</v>
      </c>
      <c r="B15" s="123" t="s">
        <v>13</v>
      </c>
      <c r="C15" s="173"/>
      <c r="D15" s="49"/>
      <c r="E15" s="51"/>
      <c r="F15" s="127"/>
      <c r="G15" s="162"/>
      <c r="H15" s="165"/>
      <c r="I15" s="23"/>
      <c r="J15" s="236"/>
      <c r="K15" s="237"/>
      <c r="L15" s="237"/>
      <c r="M15" s="237"/>
      <c r="N15" s="237"/>
      <c r="O15" s="237"/>
    </row>
    <row r="16" spans="1:59" ht="23.25" thickBot="1" x14ac:dyDescent="0.3">
      <c r="A16" s="5" t="s">
        <v>3</v>
      </c>
      <c r="B16" s="124" t="s">
        <v>14</v>
      </c>
      <c r="C16" s="77" t="e">
        <f t="shared" ref="C16:L16" si="11">C17+C118+C132+C210</f>
        <v>#REF!</v>
      </c>
      <c r="D16" s="50" t="e">
        <f t="shared" si="11"/>
        <v>#REF!</v>
      </c>
      <c r="E16" s="77" t="e">
        <f t="shared" si="11"/>
        <v>#REF!</v>
      </c>
      <c r="F16" s="153">
        <f t="shared" si="11"/>
        <v>213227871</v>
      </c>
      <c r="G16" s="153">
        <f t="shared" si="11"/>
        <v>128978195.92999999</v>
      </c>
      <c r="H16" s="153" t="e">
        <f t="shared" si="11"/>
        <v>#REF!</v>
      </c>
      <c r="I16" s="153" t="e">
        <f t="shared" si="11"/>
        <v>#REF!</v>
      </c>
      <c r="J16" s="238">
        <f t="shared" si="11"/>
        <v>234394586.75</v>
      </c>
      <c r="K16" s="239" t="e">
        <f t="shared" si="11"/>
        <v>#REF!</v>
      </c>
      <c r="L16" s="239" t="e">
        <f t="shared" si="11"/>
        <v>#REF!</v>
      </c>
      <c r="M16" s="238">
        <f>M17+M118+M127+M204</f>
        <v>142772278</v>
      </c>
      <c r="N16" s="239" t="e">
        <f>N17+N118+N132+N210</f>
        <v>#REF!</v>
      </c>
      <c r="O16" s="240">
        <f>O17+O118+O132+O210</f>
        <v>236082117.18000001</v>
      </c>
    </row>
    <row r="17" spans="1:15" ht="23.25" thickBot="1" x14ac:dyDescent="0.3">
      <c r="A17" s="6" t="s">
        <v>15</v>
      </c>
      <c r="B17" s="187" t="s">
        <v>16</v>
      </c>
      <c r="C17" s="174" t="e">
        <f t="shared" ref="C17:O17" si="12">C18+C80+C103</f>
        <v>#REF!</v>
      </c>
      <c r="D17" s="76" t="e">
        <f t="shared" si="12"/>
        <v>#REF!</v>
      </c>
      <c r="E17" s="78" t="e">
        <f t="shared" si="12"/>
        <v>#REF!</v>
      </c>
      <c r="F17" s="24">
        <f t="shared" si="12"/>
        <v>122740424</v>
      </c>
      <c r="G17" s="24">
        <f t="shared" si="12"/>
        <v>89264333.519999981</v>
      </c>
      <c r="H17" s="24" t="e">
        <f t="shared" si="12"/>
        <v>#REF!</v>
      </c>
      <c r="I17" s="24" t="e">
        <f t="shared" si="12"/>
        <v>#REF!</v>
      </c>
      <c r="J17" s="241">
        <f t="shared" si="12"/>
        <v>133236202.56999999</v>
      </c>
      <c r="K17" s="241" t="e">
        <f t="shared" si="12"/>
        <v>#REF!</v>
      </c>
      <c r="L17" s="241" t="e">
        <f t="shared" si="12"/>
        <v>#REF!</v>
      </c>
      <c r="M17" s="241">
        <f t="shared" si="12"/>
        <v>131978618</v>
      </c>
      <c r="N17" s="242" t="e">
        <f t="shared" si="12"/>
        <v>#REF!</v>
      </c>
      <c r="O17" s="243">
        <f t="shared" si="12"/>
        <v>133889674</v>
      </c>
    </row>
    <row r="18" spans="1:15" ht="22.5" x14ac:dyDescent="0.25">
      <c r="A18" s="7" t="s">
        <v>17</v>
      </c>
      <c r="B18" s="188" t="s">
        <v>18</v>
      </c>
      <c r="C18" s="156">
        <f t="shared" ref="C18:O18" si="13">C19+C72+C77</f>
        <v>106681036.91999999</v>
      </c>
      <c r="D18" s="38">
        <f t="shared" si="13"/>
        <v>108274178</v>
      </c>
      <c r="E18" s="33">
        <f t="shared" si="13"/>
        <v>43798594.880000003</v>
      </c>
      <c r="F18" s="25">
        <f t="shared" si="13"/>
        <v>99961538</v>
      </c>
      <c r="G18" s="25">
        <f t="shared" si="13"/>
        <v>82611724.799999982</v>
      </c>
      <c r="H18" s="25">
        <f t="shared" si="13"/>
        <v>110090000</v>
      </c>
      <c r="I18" s="25">
        <f t="shared" si="13"/>
        <v>127793750</v>
      </c>
      <c r="J18" s="244">
        <f t="shared" si="13"/>
        <v>104889327.56999999</v>
      </c>
      <c r="K18" s="244">
        <f t="shared" si="13"/>
        <v>108490000</v>
      </c>
      <c r="L18" s="244">
        <f t="shared" si="13"/>
        <v>125623750</v>
      </c>
      <c r="M18" s="244">
        <f t="shared" si="13"/>
        <v>104133243</v>
      </c>
      <c r="N18" s="245">
        <f t="shared" si="13"/>
        <v>126648750</v>
      </c>
      <c r="O18" s="246">
        <f t="shared" si="13"/>
        <v>106532113</v>
      </c>
    </row>
    <row r="19" spans="1:15" x14ac:dyDescent="0.25">
      <c r="A19" s="8" t="s">
        <v>5</v>
      </c>
      <c r="B19" s="184" t="s">
        <v>6</v>
      </c>
      <c r="C19" s="129">
        <f>C21+C24+C26+C29+C34+C40+C49+C51+C60+C65+C68+C70</f>
        <v>106299048.69999999</v>
      </c>
      <c r="D19" s="39">
        <f>D21+D24+D26+D29+D34+D40+D49+D51+D60+D65+D68+D70</f>
        <v>107814178</v>
      </c>
      <c r="E19" s="34">
        <f>E21+E24+E26+E29+E34+E40+E49+E51+E60+E65+E68+E70</f>
        <v>43772538.270000003</v>
      </c>
      <c r="F19" s="26">
        <f>F20+F28+F59+F64+F67</f>
        <v>99601538</v>
      </c>
      <c r="G19" s="86">
        <f>G20+G28+G59+G64+G67</f>
        <v>82508561.049999982</v>
      </c>
      <c r="H19" s="39">
        <f>H20+H28+H59+H64+H67</f>
        <v>109630000</v>
      </c>
      <c r="I19" s="26">
        <f>I21+I24+I26+I29+I34+I40+I49+I51+I60+I65+I68+I70</f>
        <v>127333750</v>
      </c>
      <c r="J19" s="247">
        <f>J20+J28+J59+J64+J67</f>
        <v>104429327.56999999</v>
      </c>
      <c r="K19" s="248">
        <f>K20+K28+K59+K64+K67</f>
        <v>108030000</v>
      </c>
      <c r="L19" s="248">
        <f>L21+L24+L26+L29+L34+L40+L49+L51+L60+L65+L68+L70</f>
        <v>125163750</v>
      </c>
      <c r="M19" s="247">
        <f>M20+M28+M59+M64+M67</f>
        <v>103673243</v>
      </c>
      <c r="N19" s="249">
        <f>N21+N24+N26+N29+N34+N40+N49+N51+N60+N65+N68+N70</f>
        <v>126188750</v>
      </c>
      <c r="O19" s="247">
        <f>O21+O24+O26+O29+O34+O40+O49+O51+O60+O65+O68+O70</f>
        <v>106072113</v>
      </c>
    </row>
    <row r="20" spans="1:15" x14ac:dyDescent="0.25">
      <c r="A20" s="52" t="s">
        <v>7</v>
      </c>
      <c r="B20" s="189" t="s">
        <v>165</v>
      </c>
      <c r="C20" s="130"/>
      <c r="D20" s="56"/>
      <c r="E20" s="57"/>
      <c r="F20" s="53">
        <f>F21+F24+F26</f>
        <v>84167788</v>
      </c>
      <c r="G20" s="87">
        <f>G21+G24+G26</f>
        <v>70077478.389999986</v>
      </c>
      <c r="H20" s="56">
        <f>H21+H24+H26</f>
        <v>90849000</v>
      </c>
      <c r="I20" s="53">
        <f>I21+I24+I26</f>
        <v>103932750</v>
      </c>
      <c r="J20" s="250">
        <f>J21+J24+J26</f>
        <v>87096500</v>
      </c>
      <c r="K20" s="251">
        <v>89949000</v>
      </c>
      <c r="L20" s="251">
        <f>L21+L24+L26</f>
        <v>102532750</v>
      </c>
      <c r="M20" s="250">
        <f>M21+M24+M26</f>
        <v>86514000</v>
      </c>
      <c r="N20" s="252">
        <f>N21+N24+N26</f>
        <v>102532750</v>
      </c>
      <c r="O20" s="253">
        <f>O21+O24+O26</f>
        <v>89019113</v>
      </c>
    </row>
    <row r="21" spans="1:15" x14ac:dyDescent="0.25">
      <c r="A21" s="9" t="s">
        <v>19</v>
      </c>
      <c r="B21" s="190" t="s">
        <v>20</v>
      </c>
      <c r="C21" s="98">
        <f t="shared" ref="C21:E21" si="14">SUM(C22:C23)</f>
        <v>72339008.989999995</v>
      </c>
      <c r="D21" s="40">
        <f t="shared" si="14"/>
        <v>73800000</v>
      </c>
      <c r="E21" s="35">
        <f t="shared" si="14"/>
        <v>30950115.359999999</v>
      </c>
      <c r="F21" s="35">
        <f>SUM(F22:F23)</f>
        <v>69536247</v>
      </c>
      <c r="G21" s="98">
        <f>SUM(G22:G23)</f>
        <v>58728537.599999994</v>
      </c>
      <c r="H21" s="40">
        <f t="shared" ref="H21:O21" si="15">SUM(H22:H23)</f>
        <v>74800000</v>
      </c>
      <c r="I21" s="27">
        <f t="shared" si="15"/>
        <v>85350000</v>
      </c>
      <c r="J21" s="254">
        <f t="shared" si="15"/>
        <v>72100000</v>
      </c>
      <c r="K21" s="255">
        <f t="shared" si="15"/>
        <v>74800000</v>
      </c>
      <c r="L21" s="255">
        <f t="shared" si="15"/>
        <v>85350000</v>
      </c>
      <c r="M21" s="254">
        <f t="shared" si="15"/>
        <v>71600000</v>
      </c>
      <c r="N21" s="256">
        <f t="shared" si="15"/>
        <v>85350000</v>
      </c>
      <c r="O21" s="257">
        <f t="shared" si="15"/>
        <v>73800000</v>
      </c>
    </row>
    <row r="22" spans="1:15" x14ac:dyDescent="0.25">
      <c r="A22" s="10" t="s">
        <v>21</v>
      </c>
      <c r="B22" s="191" t="s">
        <v>22</v>
      </c>
      <c r="C22" s="175">
        <v>70695044.640000001</v>
      </c>
      <c r="D22" s="60">
        <v>73500000</v>
      </c>
      <c r="E22" s="36">
        <v>30214512.399999999</v>
      </c>
      <c r="F22" s="36">
        <v>69236247</v>
      </c>
      <c r="G22" s="99">
        <v>58006925.619999997</v>
      </c>
      <c r="H22" s="60">
        <v>74500000</v>
      </c>
      <c r="I22" s="55">
        <v>85050000</v>
      </c>
      <c r="J22" s="258">
        <v>71800000</v>
      </c>
      <c r="K22" s="259">
        <v>74500000</v>
      </c>
      <c r="L22" s="259">
        <v>85050000</v>
      </c>
      <c r="M22" s="260">
        <v>71300000</v>
      </c>
      <c r="N22" s="261">
        <v>85050000</v>
      </c>
      <c r="O22" s="262">
        <v>73500000</v>
      </c>
    </row>
    <row r="23" spans="1:15" x14ac:dyDescent="0.25">
      <c r="A23" s="10" t="s">
        <v>23</v>
      </c>
      <c r="B23" s="191" t="s">
        <v>24</v>
      </c>
      <c r="C23" s="175">
        <v>1643964.35</v>
      </c>
      <c r="D23" s="60">
        <v>300000</v>
      </c>
      <c r="E23" s="36">
        <v>735602.96</v>
      </c>
      <c r="F23" s="36">
        <v>300000</v>
      </c>
      <c r="G23" s="99">
        <v>721611.98</v>
      </c>
      <c r="H23" s="60">
        <v>300000</v>
      </c>
      <c r="I23" s="55">
        <v>300000</v>
      </c>
      <c r="J23" s="258">
        <v>300000</v>
      </c>
      <c r="K23" s="259">
        <v>300000</v>
      </c>
      <c r="L23" s="259">
        <v>300000</v>
      </c>
      <c r="M23" s="260">
        <v>300000</v>
      </c>
      <c r="N23" s="261">
        <v>300000</v>
      </c>
      <c r="O23" s="262">
        <v>300000</v>
      </c>
    </row>
    <row r="24" spans="1:15" x14ac:dyDescent="0.25">
      <c r="A24" s="9" t="s">
        <v>25</v>
      </c>
      <c r="B24" s="190" t="s">
        <v>26</v>
      </c>
      <c r="C24" s="98">
        <f t="shared" ref="C24:E24" si="16">SUM(C25)</f>
        <v>2533848.34</v>
      </c>
      <c r="D24" s="40">
        <f t="shared" si="16"/>
        <v>3100000</v>
      </c>
      <c r="E24" s="35">
        <f t="shared" si="16"/>
        <v>237821.09</v>
      </c>
      <c r="F24" s="35">
        <f>SUM(F25)</f>
        <v>3650041</v>
      </c>
      <c r="G24" s="35">
        <f>SUM(G25)</f>
        <v>2055634.5</v>
      </c>
      <c r="H24" s="40">
        <f t="shared" ref="H24:O24" si="17">SUM(H25)</f>
        <v>4300000</v>
      </c>
      <c r="I24" s="27">
        <f t="shared" si="17"/>
        <v>4500000</v>
      </c>
      <c r="J24" s="254">
        <f t="shared" si="17"/>
        <v>3100000</v>
      </c>
      <c r="K24" s="255">
        <f t="shared" si="17"/>
        <v>2900000</v>
      </c>
      <c r="L24" s="255">
        <f t="shared" si="17"/>
        <v>3100000</v>
      </c>
      <c r="M24" s="254">
        <f t="shared" si="17"/>
        <v>3100000</v>
      </c>
      <c r="N24" s="256">
        <f t="shared" si="17"/>
        <v>3100000</v>
      </c>
      <c r="O24" s="257">
        <f t="shared" si="17"/>
        <v>3042113</v>
      </c>
    </row>
    <row r="25" spans="1:15" x14ac:dyDescent="0.25">
      <c r="A25" s="10" t="s">
        <v>27</v>
      </c>
      <c r="B25" s="191" t="s">
        <v>26</v>
      </c>
      <c r="C25" s="175">
        <f>1783848.34+750000</f>
        <v>2533848.34</v>
      </c>
      <c r="D25" s="60">
        <v>3100000</v>
      </c>
      <c r="E25" s="36">
        <v>237821.09</v>
      </c>
      <c r="F25" s="36">
        <v>3650041</v>
      </c>
      <c r="G25" s="99">
        <v>2055634.5</v>
      </c>
      <c r="H25" s="60">
        <v>4300000</v>
      </c>
      <c r="I25" s="55">
        <v>4500000</v>
      </c>
      <c r="J25" s="258">
        <v>3100000</v>
      </c>
      <c r="K25" s="259">
        <v>2900000</v>
      </c>
      <c r="L25" s="259">
        <v>3100000</v>
      </c>
      <c r="M25" s="260">
        <v>3100000</v>
      </c>
      <c r="N25" s="261">
        <v>3100000</v>
      </c>
      <c r="O25" s="262">
        <v>3042113</v>
      </c>
    </row>
    <row r="26" spans="1:15" x14ac:dyDescent="0.25">
      <c r="A26" s="9" t="s">
        <v>28</v>
      </c>
      <c r="B26" s="190" t="s">
        <v>29</v>
      </c>
      <c r="C26" s="98">
        <f t="shared" ref="C26:I26" si="18">SUM(C27:C27)</f>
        <v>10885629.33</v>
      </c>
      <c r="D26" s="40">
        <f t="shared" si="18"/>
        <v>11439000</v>
      </c>
      <c r="E26" s="35">
        <f t="shared" si="18"/>
        <v>4865295.04</v>
      </c>
      <c r="F26" s="35">
        <f t="shared" si="18"/>
        <v>10981500</v>
      </c>
      <c r="G26" s="98">
        <f t="shared" si="18"/>
        <v>9293306.2899999991</v>
      </c>
      <c r="H26" s="40">
        <f t="shared" si="18"/>
        <v>11749000</v>
      </c>
      <c r="I26" s="27">
        <f t="shared" si="18"/>
        <v>14082750</v>
      </c>
      <c r="J26" s="254">
        <f>SUM(J27)</f>
        <v>11896500</v>
      </c>
      <c r="K26" s="255">
        <f>SUM(K27:K27)</f>
        <v>11749000</v>
      </c>
      <c r="L26" s="255">
        <f>SUM(L27:L27)</f>
        <v>14082750</v>
      </c>
      <c r="M26" s="254">
        <f>SUM(M27:M27)</f>
        <v>11814000</v>
      </c>
      <c r="N26" s="256">
        <f>SUM(N27:N27)</f>
        <v>14082750</v>
      </c>
      <c r="O26" s="257">
        <f>SUM(O27:O27)</f>
        <v>12177000</v>
      </c>
    </row>
    <row r="27" spans="1:15" x14ac:dyDescent="0.25">
      <c r="A27" s="10" t="s">
        <v>30</v>
      </c>
      <c r="B27" s="191" t="s">
        <v>168</v>
      </c>
      <c r="C27" s="175">
        <v>10885629.33</v>
      </c>
      <c r="D27" s="60">
        <v>11439000</v>
      </c>
      <c r="E27" s="36">
        <v>4865295.04</v>
      </c>
      <c r="F27" s="36">
        <v>10981500</v>
      </c>
      <c r="G27" s="99">
        <v>9293306.2899999991</v>
      </c>
      <c r="H27" s="60">
        <v>11749000</v>
      </c>
      <c r="I27" s="55">
        <f>I21*16.5/100</f>
        <v>14082750</v>
      </c>
      <c r="J27" s="258">
        <f>J21*16.5/100</f>
        <v>11896500</v>
      </c>
      <c r="K27" s="259">
        <v>11749000</v>
      </c>
      <c r="L27" s="259">
        <f t="shared" ref="L27" si="19">L21*16.5/100</f>
        <v>14082750</v>
      </c>
      <c r="M27" s="260">
        <f>M21*16.5/100</f>
        <v>11814000</v>
      </c>
      <c r="N27" s="261">
        <f t="shared" ref="N27" si="20">N21*16.5/100</f>
        <v>14082750</v>
      </c>
      <c r="O27" s="262">
        <f>O21*16.5/100</f>
        <v>12177000</v>
      </c>
    </row>
    <row r="28" spans="1:15" x14ac:dyDescent="0.25">
      <c r="A28" s="52" t="s">
        <v>155</v>
      </c>
      <c r="B28" s="189" t="s">
        <v>164</v>
      </c>
      <c r="C28" s="130"/>
      <c r="D28" s="67"/>
      <c r="E28" s="79"/>
      <c r="F28" s="54">
        <f t="shared" ref="F28:G28" si="21">F29+F34+F40+F49+F51</f>
        <v>15225700</v>
      </c>
      <c r="G28" s="79">
        <f t="shared" si="21"/>
        <v>12273500.77</v>
      </c>
      <c r="H28" s="67">
        <f>H29+H34+H40+H49+H51</f>
        <v>18651000</v>
      </c>
      <c r="I28" s="54">
        <f>I29+I34+I40+I49+I51</f>
        <v>22821000</v>
      </c>
      <c r="J28" s="263">
        <f>J29+J34+J40+J49+J51</f>
        <v>17113827.57</v>
      </c>
      <c r="K28" s="264">
        <f>K29+K34+K40+K49+K51</f>
        <v>17951000</v>
      </c>
      <c r="L28" s="264">
        <f t="shared" ref="L28:O28" si="22">L29+L34+L40+L49+L51</f>
        <v>22401000</v>
      </c>
      <c r="M28" s="263">
        <f t="shared" si="22"/>
        <v>17040243</v>
      </c>
      <c r="N28" s="265">
        <f t="shared" si="22"/>
        <v>22626000</v>
      </c>
      <c r="O28" s="266">
        <f t="shared" si="22"/>
        <v>16934000</v>
      </c>
    </row>
    <row r="29" spans="1:15" x14ac:dyDescent="0.25">
      <c r="A29" s="9" t="s">
        <v>33</v>
      </c>
      <c r="B29" s="190" t="s">
        <v>34</v>
      </c>
      <c r="C29" s="98">
        <f t="shared" ref="C29:E29" si="23">SUM(C30:C33)</f>
        <v>5325825.8499999996</v>
      </c>
      <c r="D29" s="40">
        <f t="shared" si="23"/>
        <v>4896040</v>
      </c>
      <c r="E29" s="35">
        <f t="shared" si="23"/>
        <v>2251436.06</v>
      </c>
      <c r="F29" s="35">
        <f>SUM(F30:F33)</f>
        <v>3244500</v>
      </c>
      <c r="G29" s="98">
        <f>SUM(G30:G33)</f>
        <v>2829131.54</v>
      </c>
      <c r="H29" s="40">
        <f t="shared" ref="H29:N29" si="24">SUM(H30:H33)</f>
        <v>4675000</v>
      </c>
      <c r="I29" s="27">
        <f t="shared" si="24"/>
        <v>5075000</v>
      </c>
      <c r="J29" s="254">
        <f>SUM(J30:J33)</f>
        <v>4604827.57</v>
      </c>
      <c r="K29" s="255">
        <f t="shared" si="24"/>
        <v>4675000</v>
      </c>
      <c r="L29" s="255">
        <f t="shared" si="24"/>
        <v>5075000</v>
      </c>
      <c r="M29" s="267">
        <f>SUM(M30:M33)</f>
        <v>4625000</v>
      </c>
      <c r="N29" s="256">
        <f t="shared" si="24"/>
        <v>5100000</v>
      </c>
      <c r="O29" s="257">
        <f>SUM(O30:O33)</f>
        <v>4625000</v>
      </c>
    </row>
    <row r="30" spans="1:15" x14ac:dyDescent="0.25">
      <c r="A30" s="10" t="s">
        <v>35</v>
      </c>
      <c r="B30" s="191" t="s">
        <v>36</v>
      </c>
      <c r="C30" s="175">
        <v>1152293.92</v>
      </c>
      <c r="D30" s="60">
        <v>855000</v>
      </c>
      <c r="E30" s="36">
        <v>516084.71</v>
      </c>
      <c r="F30" s="36">
        <v>990000</v>
      </c>
      <c r="G30" s="99">
        <v>379673.17</v>
      </c>
      <c r="H30" s="60">
        <v>700000</v>
      </c>
      <c r="I30" s="29">
        <v>900000</v>
      </c>
      <c r="J30" s="258">
        <v>950000</v>
      </c>
      <c r="K30" s="268">
        <v>700000</v>
      </c>
      <c r="L30" s="268">
        <v>900000</v>
      </c>
      <c r="M30" s="260">
        <v>950000</v>
      </c>
      <c r="N30" s="269">
        <v>900000</v>
      </c>
      <c r="O30" s="262">
        <v>950000</v>
      </c>
    </row>
    <row r="31" spans="1:15" x14ac:dyDescent="0.25">
      <c r="A31" s="10" t="s">
        <v>37</v>
      </c>
      <c r="B31" s="191" t="s">
        <v>38</v>
      </c>
      <c r="C31" s="175">
        <v>4051541.68</v>
      </c>
      <c r="D31" s="60">
        <v>3756040</v>
      </c>
      <c r="E31" s="36">
        <v>1669272.6</v>
      </c>
      <c r="F31" s="36">
        <v>2225000</v>
      </c>
      <c r="G31" s="99">
        <v>2421273.37</v>
      </c>
      <c r="H31" s="60">
        <v>3700000</v>
      </c>
      <c r="I31" s="29">
        <v>3900000</v>
      </c>
      <c r="J31" s="258">
        <v>3500000</v>
      </c>
      <c r="K31" s="268">
        <v>3700000</v>
      </c>
      <c r="L31" s="268">
        <v>3900000</v>
      </c>
      <c r="M31" s="260">
        <v>3500000</v>
      </c>
      <c r="N31" s="269">
        <v>3900000</v>
      </c>
      <c r="O31" s="262">
        <v>3500000</v>
      </c>
    </row>
    <row r="32" spans="1:15" x14ac:dyDescent="0.25">
      <c r="A32" s="10" t="s">
        <v>39</v>
      </c>
      <c r="B32" s="191" t="s">
        <v>40</v>
      </c>
      <c r="C32" s="175">
        <v>104559.25</v>
      </c>
      <c r="D32" s="60">
        <v>237500</v>
      </c>
      <c r="E32" s="36">
        <v>57728.75</v>
      </c>
      <c r="F32" s="36">
        <v>20000</v>
      </c>
      <c r="G32" s="99">
        <v>28185</v>
      </c>
      <c r="H32" s="60">
        <v>250000</v>
      </c>
      <c r="I32" s="29">
        <v>250000</v>
      </c>
      <c r="J32" s="258">
        <v>150000</v>
      </c>
      <c r="K32" s="268">
        <v>250000</v>
      </c>
      <c r="L32" s="268">
        <v>250000</v>
      </c>
      <c r="M32" s="260">
        <v>150000</v>
      </c>
      <c r="N32" s="269">
        <v>250000</v>
      </c>
      <c r="O32" s="262">
        <v>150000</v>
      </c>
    </row>
    <row r="33" spans="1:18" x14ac:dyDescent="0.25">
      <c r="A33" s="10" t="s">
        <v>41</v>
      </c>
      <c r="B33" s="191" t="s">
        <v>42</v>
      </c>
      <c r="C33" s="175">
        <v>17431</v>
      </c>
      <c r="D33" s="60">
        <v>47500</v>
      </c>
      <c r="E33" s="36">
        <v>8350</v>
      </c>
      <c r="F33" s="36">
        <v>9500</v>
      </c>
      <c r="G33" s="99">
        <v>0</v>
      </c>
      <c r="H33" s="60">
        <v>25000</v>
      </c>
      <c r="I33" s="29">
        <v>25000</v>
      </c>
      <c r="J33" s="258">
        <f>2355+2472.57</f>
        <v>4827.57</v>
      </c>
      <c r="K33" s="268">
        <v>25000</v>
      </c>
      <c r="L33" s="268">
        <v>25000</v>
      </c>
      <c r="M33" s="260">
        <v>25000</v>
      </c>
      <c r="N33" s="269">
        <v>50000</v>
      </c>
      <c r="O33" s="262">
        <v>25000</v>
      </c>
    </row>
    <row r="34" spans="1:18" x14ac:dyDescent="0.25">
      <c r="A34" s="9" t="s">
        <v>43</v>
      </c>
      <c r="B34" s="190" t="s">
        <v>44</v>
      </c>
      <c r="C34" s="98">
        <f t="shared" ref="C34:O34" si="25">SUM(C35:C39)</f>
        <v>2325203.77</v>
      </c>
      <c r="D34" s="40">
        <f t="shared" si="25"/>
        <v>1957000</v>
      </c>
      <c r="E34" s="35">
        <f t="shared" si="25"/>
        <v>1005390.9699999999</v>
      </c>
      <c r="F34" s="27">
        <f t="shared" si="25"/>
        <v>1339750</v>
      </c>
      <c r="G34" s="83">
        <f t="shared" si="25"/>
        <v>1098938.51</v>
      </c>
      <c r="H34" s="40">
        <f t="shared" si="25"/>
        <v>1960000</v>
      </c>
      <c r="I34" s="27">
        <f t="shared" si="25"/>
        <v>3400000</v>
      </c>
      <c r="J34" s="254">
        <f>SUM(J35:J39)</f>
        <v>1837000</v>
      </c>
      <c r="K34" s="255">
        <f t="shared" si="25"/>
        <v>1960000</v>
      </c>
      <c r="L34" s="255">
        <f t="shared" si="25"/>
        <v>3300000</v>
      </c>
      <c r="M34" s="267">
        <f>SUM(M35:M39)</f>
        <v>1837000</v>
      </c>
      <c r="N34" s="256">
        <f t="shared" si="25"/>
        <v>3300000</v>
      </c>
      <c r="O34" s="257">
        <f t="shared" si="25"/>
        <v>1837000</v>
      </c>
      <c r="R34" s="203"/>
    </row>
    <row r="35" spans="1:18" x14ac:dyDescent="0.25">
      <c r="A35" s="10" t="s">
        <v>45</v>
      </c>
      <c r="B35" s="191" t="s">
        <v>46</v>
      </c>
      <c r="C35" s="175">
        <v>1046372.76</v>
      </c>
      <c r="D35" s="60">
        <v>950000</v>
      </c>
      <c r="E35" s="36">
        <v>463427.92</v>
      </c>
      <c r="F35" s="36">
        <v>456250</v>
      </c>
      <c r="G35" s="99">
        <v>254341.68</v>
      </c>
      <c r="H35" s="60">
        <v>900000</v>
      </c>
      <c r="I35" s="55">
        <v>1840000</v>
      </c>
      <c r="J35" s="258">
        <v>800000</v>
      </c>
      <c r="K35" s="259">
        <v>900000</v>
      </c>
      <c r="L35" s="259">
        <v>1840000</v>
      </c>
      <c r="M35" s="260">
        <v>800000</v>
      </c>
      <c r="N35" s="261">
        <v>1840000</v>
      </c>
      <c r="O35" s="262">
        <v>800000</v>
      </c>
    </row>
    <row r="36" spans="1:18" x14ac:dyDescent="0.25">
      <c r="A36" s="10" t="s">
        <v>47</v>
      </c>
      <c r="B36" s="191" t="s">
        <v>48</v>
      </c>
      <c r="C36" s="175">
        <v>1133565</v>
      </c>
      <c r="D36" s="60">
        <v>760000</v>
      </c>
      <c r="E36" s="36">
        <v>515351.03</v>
      </c>
      <c r="F36" s="36">
        <v>665000</v>
      </c>
      <c r="G36" s="99">
        <v>789383.57</v>
      </c>
      <c r="H36" s="60">
        <v>800000</v>
      </c>
      <c r="I36" s="55">
        <v>1200000</v>
      </c>
      <c r="J36" s="258">
        <v>700000</v>
      </c>
      <c r="K36" s="259">
        <v>800000</v>
      </c>
      <c r="L36" s="259">
        <v>1200000</v>
      </c>
      <c r="M36" s="260">
        <v>700000</v>
      </c>
      <c r="N36" s="261">
        <v>1200000</v>
      </c>
      <c r="O36" s="262">
        <v>700000</v>
      </c>
    </row>
    <row r="37" spans="1:18" x14ac:dyDescent="0.25">
      <c r="A37" s="10" t="s">
        <v>49</v>
      </c>
      <c r="B37" s="191" t="s">
        <v>50</v>
      </c>
      <c r="C37" s="175">
        <v>35111.67</v>
      </c>
      <c r="D37" s="60">
        <v>57000</v>
      </c>
      <c r="E37" s="36">
        <v>6979.44</v>
      </c>
      <c r="F37" s="36">
        <v>47500</v>
      </c>
      <c r="G37" s="99">
        <v>19228.16</v>
      </c>
      <c r="H37" s="60">
        <v>60000</v>
      </c>
      <c r="I37" s="55">
        <v>60000</v>
      </c>
      <c r="J37" s="258">
        <v>150000</v>
      </c>
      <c r="K37" s="259">
        <v>60000</v>
      </c>
      <c r="L37" s="259">
        <v>60000</v>
      </c>
      <c r="M37" s="260">
        <v>150000</v>
      </c>
      <c r="N37" s="261">
        <v>60000</v>
      </c>
      <c r="O37" s="262">
        <v>150000</v>
      </c>
    </row>
    <row r="38" spans="1:18" x14ac:dyDescent="0.25">
      <c r="A38" s="10" t="s">
        <v>51</v>
      </c>
      <c r="B38" s="191" t="s">
        <v>52</v>
      </c>
      <c r="C38" s="175">
        <v>27832.1</v>
      </c>
      <c r="D38" s="60">
        <v>95000</v>
      </c>
      <c r="E38" s="36">
        <v>19632.580000000002</v>
      </c>
      <c r="F38" s="36">
        <v>95000</v>
      </c>
      <c r="G38" s="99">
        <v>29156.5</v>
      </c>
      <c r="H38" s="60">
        <v>100000</v>
      </c>
      <c r="I38" s="55">
        <v>100000</v>
      </c>
      <c r="J38" s="258">
        <v>100000</v>
      </c>
      <c r="K38" s="259">
        <v>100000</v>
      </c>
      <c r="L38" s="259">
        <v>100000</v>
      </c>
      <c r="M38" s="260">
        <v>100000</v>
      </c>
      <c r="N38" s="261">
        <v>100000</v>
      </c>
      <c r="O38" s="262">
        <v>100000</v>
      </c>
    </row>
    <row r="39" spans="1:18" x14ac:dyDescent="0.25">
      <c r="A39" s="10" t="s">
        <v>53</v>
      </c>
      <c r="B39" s="191" t="s">
        <v>54</v>
      </c>
      <c r="C39" s="175">
        <v>82322.240000000005</v>
      </c>
      <c r="D39" s="60">
        <v>95000</v>
      </c>
      <c r="E39" s="36">
        <v>0</v>
      </c>
      <c r="F39" s="36">
        <v>76000</v>
      </c>
      <c r="G39" s="99">
        <v>6828.6</v>
      </c>
      <c r="H39" s="60">
        <v>100000</v>
      </c>
      <c r="I39" s="55">
        <v>200000</v>
      </c>
      <c r="J39" s="258">
        <v>87000</v>
      </c>
      <c r="K39" s="259">
        <v>100000</v>
      </c>
      <c r="L39" s="259">
        <v>100000</v>
      </c>
      <c r="M39" s="260">
        <v>87000</v>
      </c>
      <c r="N39" s="261">
        <v>100000</v>
      </c>
      <c r="O39" s="262">
        <v>87000</v>
      </c>
    </row>
    <row r="40" spans="1:18" x14ac:dyDescent="0.25">
      <c r="A40" s="9" t="s">
        <v>55</v>
      </c>
      <c r="B40" s="190" t="s">
        <v>56</v>
      </c>
      <c r="C40" s="98">
        <f t="shared" ref="C40:N40" si="26">SUM(C41:C48)</f>
        <v>12239907.400000002</v>
      </c>
      <c r="D40" s="40">
        <f t="shared" si="26"/>
        <v>10870438</v>
      </c>
      <c r="E40" s="35">
        <f t="shared" si="26"/>
        <v>4187896.3499999996</v>
      </c>
      <c r="F40" s="27">
        <f t="shared" si="26"/>
        <v>9855000</v>
      </c>
      <c r="G40" s="83">
        <f t="shared" si="26"/>
        <v>7921821.8599999994</v>
      </c>
      <c r="H40" s="40">
        <f t="shared" si="26"/>
        <v>11250000</v>
      </c>
      <c r="I40" s="27">
        <f t="shared" si="26"/>
        <v>13400000</v>
      </c>
      <c r="J40" s="254">
        <f>SUM(J41:J48)</f>
        <v>9900000</v>
      </c>
      <c r="K40" s="255">
        <f t="shared" si="26"/>
        <v>10550000</v>
      </c>
      <c r="L40" s="255">
        <f t="shared" si="26"/>
        <v>13050000</v>
      </c>
      <c r="M40" s="254">
        <f>SUM(M41:M48)</f>
        <v>9800000</v>
      </c>
      <c r="N40" s="256">
        <f t="shared" si="26"/>
        <v>13250000</v>
      </c>
      <c r="O40" s="257">
        <f>SUM(O41:O48)</f>
        <v>9700000</v>
      </c>
    </row>
    <row r="41" spans="1:18" x14ac:dyDescent="0.25">
      <c r="A41" s="10" t="s">
        <v>57</v>
      </c>
      <c r="B41" s="191" t="s">
        <v>58</v>
      </c>
      <c r="C41" s="175">
        <v>1356621.1</v>
      </c>
      <c r="D41" s="60">
        <v>760000</v>
      </c>
      <c r="E41" s="36">
        <v>622379.53</v>
      </c>
      <c r="F41" s="36">
        <v>1400000</v>
      </c>
      <c r="G41" s="99">
        <v>1217915.95</v>
      </c>
      <c r="H41" s="60">
        <v>800000</v>
      </c>
      <c r="I41" s="55">
        <v>1500000</v>
      </c>
      <c r="J41" s="258">
        <v>850000</v>
      </c>
      <c r="K41" s="259">
        <v>800000</v>
      </c>
      <c r="L41" s="259">
        <v>1500000</v>
      </c>
      <c r="M41" s="260">
        <v>800000</v>
      </c>
      <c r="N41" s="261">
        <v>1500000</v>
      </c>
      <c r="O41" s="262">
        <v>800000</v>
      </c>
    </row>
    <row r="42" spans="1:18" x14ac:dyDescent="0.25">
      <c r="A42" s="10" t="s">
        <v>59</v>
      </c>
      <c r="B42" s="191" t="s">
        <v>60</v>
      </c>
      <c r="C42" s="175">
        <v>126980.65</v>
      </c>
      <c r="D42" s="60">
        <v>332500</v>
      </c>
      <c r="E42" s="36">
        <v>99035.95</v>
      </c>
      <c r="F42" s="36">
        <v>475000</v>
      </c>
      <c r="G42" s="99">
        <v>328076.82</v>
      </c>
      <c r="H42" s="60">
        <v>350000</v>
      </c>
      <c r="I42" s="55">
        <v>900000</v>
      </c>
      <c r="J42" s="258">
        <v>500000</v>
      </c>
      <c r="K42" s="259">
        <v>350000</v>
      </c>
      <c r="L42" s="259">
        <v>600000</v>
      </c>
      <c r="M42" s="260">
        <v>500000</v>
      </c>
      <c r="N42" s="261">
        <v>600000</v>
      </c>
      <c r="O42" s="262">
        <v>500000</v>
      </c>
      <c r="R42" s="203"/>
    </row>
    <row r="43" spans="1:18" x14ac:dyDescent="0.25">
      <c r="A43" s="10" t="s">
        <v>61</v>
      </c>
      <c r="B43" s="191" t="s">
        <v>62</v>
      </c>
      <c r="C43" s="175">
        <v>333174.83</v>
      </c>
      <c r="D43" s="60">
        <v>95000</v>
      </c>
      <c r="E43" s="36">
        <v>36248</v>
      </c>
      <c r="F43" s="36">
        <v>47500</v>
      </c>
      <c r="G43" s="99">
        <v>146818.68</v>
      </c>
      <c r="H43" s="60">
        <v>300000</v>
      </c>
      <c r="I43" s="55">
        <v>100000</v>
      </c>
      <c r="J43" s="258">
        <v>150000</v>
      </c>
      <c r="K43" s="259">
        <v>100000</v>
      </c>
      <c r="L43" s="259">
        <v>100000</v>
      </c>
      <c r="M43" s="260">
        <v>150000</v>
      </c>
      <c r="N43" s="261">
        <v>100000</v>
      </c>
      <c r="O43" s="262">
        <v>150000</v>
      </c>
      <c r="R43" s="203"/>
    </row>
    <row r="44" spans="1:18" x14ac:dyDescent="0.25">
      <c r="A44" s="10" t="s">
        <v>63</v>
      </c>
      <c r="B44" s="191" t="s">
        <v>64</v>
      </c>
      <c r="C44" s="175">
        <v>845399.38</v>
      </c>
      <c r="D44" s="60">
        <v>950000</v>
      </c>
      <c r="E44" s="36">
        <v>277377.71000000002</v>
      </c>
      <c r="F44" s="36">
        <v>475000</v>
      </c>
      <c r="G44" s="99">
        <v>459486.01</v>
      </c>
      <c r="H44" s="60">
        <v>900000</v>
      </c>
      <c r="I44" s="55">
        <v>1000000</v>
      </c>
      <c r="J44" s="258">
        <v>500000</v>
      </c>
      <c r="K44" s="259">
        <v>900000</v>
      </c>
      <c r="L44" s="259">
        <v>1000000</v>
      </c>
      <c r="M44" s="260">
        <v>500000</v>
      </c>
      <c r="N44" s="261">
        <v>1100000</v>
      </c>
      <c r="O44" s="262">
        <v>500000</v>
      </c>
    </row>
    <row r="45" spans="1:18" x14ac:dyDescent="0.25">
      <c r="A45" s="10" t="s">
        <v>65</v>
      </c>
      <c r="B45" s="191" t="s">
        <v>66</v>
      </c>
      <c r="C45" s="175">
        <v>7218947.9800000004</v>
      </c>
      <c r="D45" s="60">
        <v>7355438</v>
      </c>
      <c r="E45" s="36">
        <v>2383998.6800000002</v>
      </c>
      <c r="F45" s="36">
        <v>6365000</v>
      </c>
      <c r="G45" s="99">
        <v>4937966.51</v>
      </c>
      <c r="H45" s="60">
        <v>7500000</v>
      </c>
      <c r="I45" s="55">
        <v>8000000</v>
      </c>
      <c r="J45" s="258">
        <v>6500000</v>
      </c>
      <c r="K45" s="259">
        <v>7000000</v>
      </c>
      <c r="L45" s="259">
        <v>8000000</v>
      </c>
      <c r="M45" s="260">
        <v>6500000</v>
      </c>
      <c r="N45" s="261">
        <v>8000000</v>
      </c>
      <c r="O45" s="262">
        <v>6500000</v>
      </c>
    </row>
    <row r="46" spans="1:18" x14ac:dyDescent="0.25">
      <c r="A46" s="10" t="s">
        <v>67</v>
      </c>
      <c r="B46" s="191" t="s">
        <v>68</v>
      </c>
      <c r="C46" s="175">
        <v>30144</v>
      </c>
      <c r="D46" s="60">
        <v>237500</v>
      </c>
      <c r="E46" s="36">
        <v>138900</v>
      </c>
      <c r="F46" s="36">
        <v>237500</v>
      </c>
      <c r="G46" s="99">
        <v>146705.22</v>
      </c>
      <c r="H46" s="60">
        <v>200000</v>
      </c>
      <c r="I46" s="29">
        <v>250000</v>
      </c>
      <c r="J46" s="258">
        <v>400000</v>
      </c>
      <c r="K46" s="268">
        <v>200000</v>
      </c>
      <c r="L46" s="268">
        <v>200000</v>
      </c>
      <c r="M46" s="260">
        <v>350000</v>
      </c>
      <c r="N46" s="269">
        <v>250000</v>
      </c>
      <c r="O46" s="262">
        <v>250000</v>
      </c>
    </row>
    <row r="47" spans="1:18" x14ac:dyDescent="0.25">
      <c r="A47" s="10" t="s">
        <v>69</v>
      </c>
      <c r="B47" s="191" t="s">
        <v>70</v>
      </c>
      <c r="C47" s="175">
        <v>958114.74</v>
      </c>
      <c r="D47" s="60">
        <v>380000</v>
      </c>
      <c r="E47" s="36">
        <v>199679.76</v>
      </c>
      <c r="F47" s="36">
        <v>285000</v>
      </c>
      <c r="G47" s="99">
        <v>257709.17</v>
      </c>
      <c r="H47" s="60">
        <v>400000</v>
      </c>
      <c r="I47" s="29">
        <v>400000</v>
      </c>
      <c r="J47" s="258">
        <v>400000</v>
      </c>
      <c r="K47" s="268">
        <v>400000</v>
      </c>
      <c r="L47" s="268">
        <v>400000</v>
      </c>
      <c r="M47" s="260">
        <v>400000</v>
      </c>
      <c r="N47" s="269">
        <v>400000</v>
      </c>
      <c r="O47" s="262">
        <v>400000</v>
      </c>
      <c r="R47" s="203"/>
    </row>
    <row r="48" spans="1:18" x14ac:dyDescent="0.25">
      <c r="A48" s="10" t="s">
        <v>71</v>
      </c>
      <c r="B48" s="191" t="s">
        <v>72</v>
      </c>
      <c r="C48" s="175">
        <v>1370524.72</v>
      </c>
      <c r="D48" s="60">
        <v>760000</v>
      </c>
      <c r="E48" s="36">
        <v>430276.72</v>
      </c>
      <c r="F48" s="36">
        <v>570000</v>
      </c>
      <c r="G48" s="99">
        <v>427143.5</v>
      </c>
      <c r="H48" s="60">
        <v>800000</v>
      </c>
      <c r="I48" s="55">
        <v>1250000</v>
      </c>
      <c r="J48" s="258">
        <v>600000</v>
      </c>
      <c r="K48" s="259">
        <v>800000</v>
      </c>
      <c r="L48" s="259">
        <v>1250000</v>
      </c>
      <c r="M48" s="260">
        <v>600000</v>
      </c>
      <c r="N48" s="261">
        <v>1300000</v>
      </c>
      <c r="O48" s="262">
        <v>600000</v>
      </c>
    </row>
    <row r="49" spans="1:15" x14ac:dyDescent="0.25">
      <c r="A49" s="9" t="s">
        <v>73</v>
      </c>
      <c r="B49" s="190" t="s">
        <v>74</v>
      </c>
      <c r="C49" s="98">
        <f>SUM(C50)</f>
        <v>412</v>
      </c>
      <c r="D49" s="40">
        <f t="shared" ref="D49:O49" si="27">SUM(D50)</f>
        <v>10000</v>
      </c>
      <c r="E49" s="35">
        <f t="shared" si="27"/>
        <v>0</v>
      </c>
      <c r="F49" s="27">
        <f>SUM(F50)</f>
        <v>1000</v>
      </c>
      <c r="G49" s="83">
        <f>SUM(G50)</f>
        <v>1000</v>
      </c>
      <c r="H49" s="40">
        <f>SUM(H50)</f>
        <v>10000</v>
      </c>
      <c r="I49" s="27">
        <f t="shared" si="27"/>
        <v>10000</v>
      </c>
      <c r="J49" s="254">
        <f>SUM(J50)</f>
        <v>1000</v>
      </c>
      <c r="K49" s="255">
        <f t="shared" si="27"/>
        <v>10000</v>
      </c>
      <c r="L49" s="255">
        <f t="shared" si="27"/>
        <v>10000</v>
      </c>
      <c r="M49" s="254">
        <f>SUM(M50)</f>
        <v>1000</v>
      </c>
      <c r="N49" s="256">
        <f t="shared" si="27"/>
        <v>10000</v>
      </c>
      <c r="O49" s="257">
        <f t="shared" si="27"/>
        <v>1000</v>
      </c>
    </row>
    <row r="50" spans="1:15" x14ac:dyDescent="0.25">
      <c r="A50" s="10" t="s">
        <v>75</v>
      </c>
      <c r="B50" s="191" t="s">
        <v>74</v>
      </c>
      <c r="C50" s="175">
        <v>412</v>
      </c>
      <c r="D50" s="60">
        <v>10000</v>
      </c>
      <c r="E50" s="36">
        <v>0</v>
      </c>
      <c r="F50" s="36">
        <v>1000</v>
      </c>
      <c r="G50" s="99">
        <v>1000</v>
      </c>
      <c r="H50" s="60">
        <v>10000</v>
      </c>
      <c r="I50" s="29">
        <v>10000</v>
      </c>
      <c r="J50" s="258">
        <v>1000</v>
      </c>
      <c r="K50" s="268">
        <v>10000</v>
      </c>
      <c r="L50" s="268">
        <v>10000</v>
      </c>
      <c r="M50" s="260">
        <v>1000</v>
      </c>
      <c r="N50" s="269">
        <v>10000</v>
      </c>
      <c r="O50" s="262">
        <v>1000</v>
      </c>
    </row>
    <row r="51" spans="1:15" x14ac:dyDescent="0.25">
      <c r="A51" s="9" t="s">
        <v>76</v>
      </c>
      <c r="B51" s="190" t="s">
        <v>77</v>
      </c>
      <c r="C51" s="98">
        <f t="shared" ref="C51:O51" si="28">SUM(C52:C58)</f>
        <v>619741.34000000008</v>
      </c>
      <c r="D51" s="40">
        <f t="shared" si="28"/>
        <v>718200</v>
      </c>
      <c r="E51" s="35">
        <f t="shared" si="28"/>
        <v>172810.87</v>
      </c>
      <c r="F51" s="27">
        <f t="shared" si="28"/>
        <v>785450</v>
      </c>
      <c r="G51" s="83">
        <f t="shared" si="28"/>
        <v>422608.86</v>
      </c>
      <c r="H51" s="40">
        <f t="shared" si="28"/>
        <v>756000</v>
      </c>
      <c r="I51" s="27">
        <f t="shared" si="28"/>
        <v>936000</v>
      </c>
      <c r="J51" s="254">
        <f>SUM(J52:J58)</f>
        <v>771000</v>
      </c>
      <c r="K51" s="255">
        <f t="shared" si="28"/>
        <v>756000</v>
      </c>
      <c r="L51" s="255">
        <f t="shared" si="28"/>
        <v>966000</v>
      </c>
      <c r="M51" s="254">
        <f>SUM(M52:M58)</f>
        <v>777243</v>
      </c>
      <c r="N51" s="256">
        <f t="shared" si="28"/>
        <v>966000</v>
      </c>
      <c r="O51" s="257">
        <f t="shared" si="28"/>
        <v>771000</v>
      </c>
    </row>
    <row r="52" spans="1:15" x14ac:dyDescent="0.25">
      <c r="A52" s="10" t="s">
        <v>78</v>
      </c>
      <c r="B52" s="191" t="s">
        <v>79</v>
      </c>
      <c r="C52" s="175">
        <v>131975.64000000001</v>
      </c>
      <c r="D52" s="60">
        <v>119700</v>
      </c>
      <c r="E52" s="36">
        <v>54989.85</v>
      </c>
      <c r="F52" s="36">
        <v>119700</v>
      </c>
      <c r="G52" s="99">
        <v>82318.12</v>
      </c>
      <c r="H52" s="60">
        <v>126000</v>
      </c>
      <c r="I52" s="29">
        <v>126000</v>
      </c>
      <c r="J52" s="258">
        <v>126000</v>
      </c>
      <c r="K52" s="268">
        <v>126000</v>
      </c>
      <c r="L52" s="268">
        <v>126000</v>
      </c>
      <c r="M52" s="260">
        <v>126000</v>
      </c>
      <c r="N52" s="269">
        <v>126000</v>
      </c>
      <c r="O52" s="262">
        <v>126000</v>
      </c>
    </row>
    <row r="53" spans="1:15" x14ac:dyDescent="0.25">
      <c r="A53" s="10" t="s">
        <v>80</v>
      </c>
      <c r="B53" s="191" t="s">
        <v>81</v>
      </c>
      <c r="C53" s="175">
        <v>140139.54</v>
      </c>
      <c r="D53" s="60">
        <v>161500</v>
      </c>
      <c r="E53" s="36">
        <v>7424.62</v>
      </c>
      <c r="F53" s="36">
        <v>218500</v>
      </c>
      <c r="G53" s="99">
        <v>94248.639999999999</v>
      </c>
      <c r="H53" s="60">
        <v>170000</v>
      </c>
      <c r="I53" s="29">
        <v>250000</v>
      </c>
      <c r="J53" s="258">
        <v>150000</v>
      </c>
      <c r="K53" s="268">
        <v>170000</v>
      </c>
      <c r="L53" s="268">
        <v>230000</v>
      </c>
      <c r="M53" s="260">
        <v>150000</v>
      </c>
      <c r="N53" s="269">
        <v>230000</v>
      </c>
      <c r="O53" s="262">
        <v>150000</v>
      </c>
    </row>
    <row r="54" spans="1:15" x14ac:dyDescent="0.25">
      <c r="A54" s="10" t="s">
        <v>82</v>
      </c>
      <c r="B54" s="191" t="s">
        <v>83</v>
      </c>
      <c r="C54" s="175">
        <v>13635.81</v>
      </c>
      <c r="D54" s="60">
        <v>47500</v>
      </c>
      <c r="E54" s="36">
        <v>0</v>
      </c>
      <c r="F54" s="36">
        <v>5000</v>
      </c>
      <c r="G54" s="99">
        <v>463</v>
      </c>
      <c r="H54" s="60">
        <v>50000</v>
      </c>
      <c r="I54" s="29">
        <v>50000</v>
      </c>
      <c r="J54" s="258">
        <v>30000</v>
      </c>
      <c r="K54" s="268">
        <v>50000</v>
      </c>
      <c r="L54" s="268">
        <v>50000</v>
      </c>
      <c r="M54" s="260">
        <v>30000</v>
      </c>
      <c r="N54" s="269">
        <v>50000</v>
      </c>
      <c r="O54" s="262">
        <v>30000</v>
      </c>
    </row>
    <row r="55" spans="1:15" x14ac:dyDescent="0.25">
      <c r="A55" s="10" t="s">
        <v>84</v>
      </c>
      <c r="B55" s="191" t="s">
        <v>85</v>
      </c>
      <c r="C55" s="175">
        <v>32499.5</v>
      </c>
      <c r="D55" s="60">
        <v>47500</v>
      </c>
      <c r="E55" s="36">
        <v>0</v>
      </c>
      <c r="F55" s="36">
        <v>47500</v>
      </c>
      <c r="G55" s="99">
        <v>32313.21</v>
      </c>
      <c r="H55" s="60">
        <v>50000</v>
      </c>
      <c r="I55" s="29">
        <v>50000</v>
      </c>
      <c r="J55" s="258">
        <v>50000</v>
      </c>
      <c r="K55" s="268">
        <v>50000</v>
      </c>
      <c r="L55" s="268">
        <v>50000</v>
      </c>
      <c r="M55" s="260">
        <v>50000</v>
      </c>
      <c r="N55" s="269">
        <v>50000</v>
      </c>
      <c r="O55" s="262">
        <v>50000</v>
      </c>
    </row>
    <row r="56" spans="1:15" x14ac:dyDescent="0.25">
      <c r="A56" s="10" t="s">
        <v>86</v>
      </c>
      <c r="B56" s="191" t="s">
        <v>87</v>
      </c>
      <c r="C56" s="175">
        <v>293160.84999999998</v>
      </c>
      <c r="D56" s="60">
        <v>285000</v>
      </c>
      <c r="E56" s="36">
        <v>108521.4</v>
      </c>
      <c r="F56" s="36">
        <v>380000</v>
      </c>
      <c r="G56" s="99">
        <v>213265.89</v>
      </c>
      <c r="H56" s="60">
        <v>300000</v>
      </c>
      <c r="I56" s="29">
        <v>400000</v>
      </c>
      <c r="J56" s="258">
        <v>380000</v>
      </c>
      <c r="K56" s="268">
        <v>300000</v>
      </c>
      <c r="L56" s="268">
        <v>450000</v>
      </c>
      <c r="M56" s="260">
        <v>380000</v>
      </c>
      <c r="N56" s="269">
        <v>450000</v>
      </c>
      <c r="O56" s="262">
        <v>380000</v>
      </c>
    </row>
    <row r="57" spans="1:15" x14ac:dyDescent="0.25">
      <c r="A57" s="10" t="s">
        <v>88</v>
      </c>
      <c r="B57" s="191" t="s">
        <v>89</v>
      </c>
      <c r="C57" s="175">
        <v>0</v>
      </c>
      <c r="D57" s="60">
        <v>47500</v>
      </c>
      <c r="E57" s="36">
        <v>0</v>
      </c>
      <c r="F57" s="36">
        <v>10000</v>
      </c>
      <c r="G57" s="99">
        <v>0</v>
      </c>
      <c r="H57" s="60">
        <v>50000</v>
      </c>
      <c r="I57" s="29">
        <v>50000</v>
      </c>
      <c r="J57" s="258">
        <v>30000</v>
      </c>
      <c r="K57" s="268">
        <v>50000</v>
      </c>
      <c r="L57" s="268">
        <v>50000</v>
      </c>
      <c r="M57" s="260">
        <v>30000</v>
      </c>
      <c r="N57" s="269">
        <v>50000</v>
      </c>
      <c r="O57" s="262">
        <v>30000</v>
      </c>
    </row>
    <row r="58" spans="1:15" x14ac:dyDescent="0.25">
      <c r="A58" s="10" t="s">
        <v>90</v>
      </c>
      <c r="B58" s="191" t="s">
        <v>77</v>
      </c>
      <c r="C58" s="175">
        <v>8330</v>
      </c>
      <c r="D58" s="60">
        <v>9500</v>
      </c>
      <c r="E58" s="36">
        <v>1875</v>
      </c>
      <c r="F58" s="36">
        <v>4750</v>
      </c>
      <c r="G58" s="99">
        <v>0</v>
      </c>
      <c r="H58" s="60">
        <v>10000</v>
      </c>
      <c r="I58" s="29">
        <v>10000</v>
      </c>
      <c r="J58" s="258">
        <v>5000</v>
      </c>
      <c r="K58" s="268">
        <v>10000</v>
      </c>
      <c r="L58" s="268">
        <v>10000</v>
      </c>
      <c r="M58" s="260">
        <f>4645+6598</f>
        <v>11243</v>
      </c>
      <c r="N58" s="269">
        <v>10000</v>
      </c>
      <c r="O58" s="262">
        <v>5000</v>
      </c>
    </row>
    <row r="59" spans="1:15" x14ac:dyDescent="0.25">
      <c r="A59" s="52" t="s">
        <v>159</v>
      </c>
      <c r="B59" s="189" t="s">
        <v>166</v>
      </c>
      <c r="C59" s="130"/>
      <c r="D59" s="67"/>
      <c r="E59" s="79"/>
      <c r="F59" s="54">
        <f>F60</f>
        <v>18050</v>
      </c>
      <c r="G59" s="148">
        <f>G60</f>
        <v>4346.84</v>
      </c>
      <c r="H59" s="67">
        <f>H60</f>
        <v>30000</v>
      </c>
      <c r="I59" s="54">
        <f>I60</f>
        <v>30000</v>
      </c>
      <c r="J59" s="263">
        <f>SUM(J60)</f>
        <v>19000</v>
      </c>
      <c r="K59" s="264">
        <f>K60</f>
        <v>30000</v>
      </c>
      <c r="L59" s="264">
        <f>L60</f>
        <v>30000</v>
      </c>
      <c r="M59" s="263">
        <f>SUM(M60)</f>
        <v>19000</v>
      </c>
      <c r="N59" s="265">
        <f>N60</f>
        <v>30000</v>
      </c>
      <c r="O59" s="270">
        <f>O60</f>
        <v>19000</v>
      </c>
    </row>
    <row r="60" spans="1:15" x14ac:dyDescent="0.25">
      <c r="A60" s="9" t="s">
        <v>91</v>
      </c>
      <c r="B60" s="190" t="s">
        <v>92</v>
      </c>
      <c r="C60" s="98">
        <f t="shared" ref="C60:E60" si="29">SUM(C61:C63)</f>
        <v>2627.8</v>
      </c>
      <c r="D60" s="40">
        <f t="shared" si="29"/>
        <v>28500</v>
      </c>
      <c r="E60" s="35">
        <f t="shared" si="29"/>
        <v>1772.53</v>
      </c>
      <c r="F60" s="27">
        <f>SUM(F61:F63)</f>
        <v>18050</v>
      </c>
      <c r="G60" s="83">
        <f>SUM(G61:G63)</f>
        <v>4346.84</v>
      </c>
      <c r="H60" s="40">
        <f>SUM(H61:H63)</f>
        <v>30000</v>
      </c>
      <c r="I60" s="27">
        <f>SUM(I61:I63)</f>
        <v>30000</v>
      </c>
      <c r="J60" s="254">
        <f>SUM(J61:J63)</f>
        <v>19000</v>
      </c>
      <c r="K60" s="255">
        <f t="shared" ref="K60:O60" si="30">SUM(K61:K63)</f>
        <v>30000</v>
      </c>
      <c r="L60" s="255">
        <f t="shared" si="30"/>
        <v>30000</v>
      </c>
      <c r="M60" s="254">
        <f>SUM(M61:M63)</f>
        <v>19000</v>
      </c>
      <c r="N60" s="256">
        <f t="shared" ref="N60" si="31">SUM(N61:N63)</f>
        <v>30000</v>
      </c>
      <c r="O60" s="257">
        <f t="shared" si="30"/>
        <v>19000</v>
      </c>
    </row>
    <row r="61" spans="1:15" x14ac:dyDescent="0.25">
      <c r="A61" s="10" t="s">
        <v>93</v>
      </c>
      <c r="B61" s="191" t="s">
        <v>94</v>
      </c>
      <c r="C61" s="175">
        <v>477.67</v>
      </c>
      <c r="D61" s="60">
        <v>9500</v>
      </c>
      <c r="E61" s="36">
        <v>0</v>
      </c>
      <c r="F61" s="36">
        <v>1900</v>
      </c>
      <c r="G61" s="99">
        <v>0</v>
      </c>
      <c r="H61" s="60">
        <v>10000</v>
      </c>
      <c r="I61" s="29">
        <v>10000</v>
      </c>
      <c r="J61" s="258">
        <v>2000</v>
      </c>
      <c r="K61" s="268">
        <v>10000</v>
      </c>
      <c r="L61" s="268">
        <v>10000</v>
      </c>
      <c r="M61" s="260">
        <v>2000</v>
      </c>
      <c r="N61" s="269">
        <v>10000</v>
      </c>
      <c r="O61" s="262">
        <v>2000</v>
      </c>
    </row>
    <row r="62" spans="1:15" x14ac:dyDescent="0.25">
      <c r="A62" s="10" t="s">
        <v>95</v>
      </c>
      <c r="B62" s="191" t="s">
        <v>96</v>
      </c>
      <c r="C62" s="175">
        <v>2150.13</v>
      </c>
      <c r="D62" s="60">
        <v>9500</v>
      </c>
      <c r="E62" s="36">
        <v>1772.53</v>
      </c>
      <c r="F62" s="36">
        <v>14250</v>
      </c>
      <c r="G62" s="99">
        <v>4346.84</v>
      </c>
      <c r="H62" s="60">
        <v>10000</v>
      </c>
      <c r="I62" s="29">
        <v>10000</v>
      </c>
      <c r="J62" s="258">
        <v>15000</v>
      </c>
      <c r="K62" s="268">
        <v>10000</v>
      </c>
      <c r="L62" s="268">
        <v>10000</v>
      </c>
      <c r="M62" s="260">
        <v>15000</v>
      </c>
      <c r="N62" s="269">
        <v>10000</v>
      </c>
      <c r="O62" s="262">
        <v>15000</v>
      </c>
    </row>
    <row r="63" spans="1:15" x14ac:dyDescent="0.25">
      <c r="A63" s="10" t="s">
        <v>97</v>
      </c>
      <c r="B63" s="191" t="s">
        <v>98</v>
      </c>
      <c r="C63" s="175">
        <v>0</v>
      </c>
      <c r="D63" s="60">
        <v>9500</v>
      </c>
      <c r="E63" s="36">
        <v>0</v>
      </c>
      <c r="F63" s="36">
        <v>1900</v>
      </c>
      <c r="G63" s="99">
        <v>0</v>
      </c>
      <c r="H63" s="60">
        <v>10000</v>
      </c>
      <c r="I63" s="29">
        <v>10000</v>
      </c>
      <c r="J63" s="258">
        <v>2000</v>
      </c>
      <c r="K63" s="268">
        <v>10000</v>
      </c>
      <c r="L63" s="268">
        <v>10000</v>
      </c>
      <c r="M63" s="260">
        <v>2000</v>
      </c>
      <c r="N63" s="269">
        <v>10000</v>
      </c>
      <c r="O63" s="262">
        <v>2000</v>
      </c>
    </row>
    <row r="64" spans="1:15" x14ac:dyDescent="0.25">
      <c r="A64" s="52" t="s">
        <v>156</v>
      </c>
      <c r="B64" s="189" t="s">
        <v>102</v>
      </c>
      <c r="C64" s="130"/>
      <c r="D64" s="67"/>
      <c r="E64" s="79"/>
      <c r="F64" s="54">
        <f>F65</f>
        <v>0</v>
      </c>
      <c r="G64" s="148">
        <f>G65</f>
        <v>0</v>
      </c>
      <c r="H64" s="67">
        <f>H65</f>
        <v>50000</v>
      </c>
      <c r="I64" s="54">
        <f>I65</f>
        <v>100000</v>
      </c>
      <c r="J64" s="263">
        <f>SUM(J65)</f>
        <v>0</v>
      </c>
      <c r="K64" s="271">
        <f>K65</f>
        <v>50000</v>
      </c>
      <c r="L64" s="264">
        <f>L65</f>
        <v>100000</v>
      </c>
      <c r="M64" s="272">
        <f>SUM(M65)</f>
        <v>0</v>
      </c>
      <c r="N64" s="265">
        <f>N65</f>
        <v>100000</v>
      </c>
      <c r="O64" s="270">
        <f>O65</f>
        <v>0</v>
      </c>
    </row>
    <row r="65" spans="1:15" x14ac:dyDescent="0.25">
      <c r="A65" s="9" t="s">
        <v>99</v>
      </c>
      <c r="B65" s="190" t="s">
        <v>100</v>
      </c>
      <c r="C65" s="98">
        <f>SUM(C66)</f>
        <v>0</v>
      </c>
      <c r="D65" s="40">
        <f t="shared" ref="D65:O65" si="32">SUM(D66)</f>
        <v>95000</v>
      </c>
      <c r="E65" s="35">
        <f t="shared" si="32"/>
        <v>0</v>
      </c>
      <c r="F65" s="27">
        <f>SUM(F66)</f>
        <v>0</v>
      </c>
      <c r="G65" s="83">
        <f>SUM(G66)</f>
        <v>0</v>
      </c>
      <c r="H65" s="40">
        <f>SUM(H66)</f>
        <v>50000</v>
      </c>
      <c r="I65" s="27">
        <f t="shared" si="32"/>
        <v>100000</v>
      </c>
      <c r="J65" s="254">
        <f>SUM(J66)</f>
        <v>0</v>
      </c>
      <c r="K65" s="255">
        <f t="shared" si="32"/>
        <v>50000</v>
      </c>
      <c r="L65" s="255">
        <f t="shared" si="32"/>
        <v>100000</v>
      </c>
      <c r="M65" s="254">
        <f>SUM(M66)</f>
        <v>0</v>
      </c>
      <c r="N65" s="256">
        <f t="shared" si="32"/>
        <v>100000</v>
      </c>
      <c r="O65" s="257">
        <f t="shared" si="32"/>
        <v>0</v>
      </c>
    </row>
    <row r="66" spans="1:15" x14ac:dyDescent="0.25">
      <c r="A66" s="10" t="s">
        <v>101</v>
      </c>
      <c r="B66" s="191" t="s">
        <v>102</v>
      </c>
      <c r="C66" s="175">
        <v>0</v>
      </c>
      <c r="D66" s="60">
        <v>95000</v>
      </c>
      <c r="E66" s="36">
        <v>0</v>
      </c>
      <c r="F66" s="36">
        <v>0</v>
      </c>
      <c r="G66" s="99">
        <v>0</v>
      </c>
      <c r="H66" s="60">
        <v>50000</v>
      </c>
      <c r="I66" s="29">
        <v>100000</v>
      </c>
      <c r="J66" s="258">
        <v>0</v>
      </c>
      <c r="K66" s="268">
        <v>50000</v>
      </c>
      <c r="L66" s="268">
        <v>100000</v>
      </c>
      <c r="M66" s="260">
        <v>0</v>
      </c>
      <c r="N66" s="269">
        <v>100000</v>
      </c>
      <c r="O66" s="262">
        <v>0</v>
      </c>
    </row>
    <row r="67" spans="1:15" x14ac:dyDescent="0.25">
      <c r="A67" s="52" t="s">
        <v>157</v>
      </c>
      <c r="B67" s="189" t="s">
        <v>167</v>
      </c>
      <c r="C67" s="130"/>
      <c r="D67" s="67"/>
      <c r="E67" s="79"/>
      <c r="F67" s="54">
        <f t="shared" ref="F67:L67" si="33">F68+F70</f>
        <v>190000</v>
      </c>
      <c r="G67" s="148">
        <f t="shared" si="33"/>
        <v>153235.04999999999</v>
      </c>
      <c r="H67" s="67">
        <f t="shared" si="33"/>
        <v>50000</v>
      </c>
      <c r="I67" s="54">
        <f t="shared" si="33"/>
        <v>450000</v>
      </c>
      <c r="J67" s="263">
        <f t="shared" si="33"/>
        <v>200000</v>
      </c>
      <c r="K67" s="271">
        <f t="shared" si="33"/>
        <v>50000</v>
      </c>
      <c r="L67" s="264">
        <f t="shared" si="33"/>
        <v>100000</v>
      </c>
      <c r="M67" s="263">
        <f>M68+M70</f>
        <v>100000</v>
      </c>
      <c r="N67" s="265">
        <f t="shared" ref="N67:O67" si="34">N68+N70</f>
        <v>900000</v>
      </c>
      <c r="O67" s="270">
        <f t="shared" si="34"/>
        <v>100000</v>
      </c>
    </row>
    <row r="68" spans="1:15" x14ac:dyDescent="0.25">
      <c r="A68" s="9" t="s">
        <v>103</v>
      </c>
      <c r="B68" s="190" t="s">
        <v>104</v>
      </c>
      <c r="C68" s="98">
        <f>SUM(C69)</f>
        <v>26843.88</v>
      </c>
      <c r="D68" s="40">
        <f t="shared" ref="D68:O68" si="35">SUM(D69)</f>
        <v>100000</v>
      </c>
      <c r="E68" s="35">
        <f t="shared" si="35"/>
        <v>100000</v>
      </c>
      <c r="F68" s="27">
        <f>SUM(F69)</f>
        <v>190000</v>
      </c>
      <c r="G68" s="83">
        <f>SUM(G69)</f>
        <v>153235.04999999999</v>
      </c>
      <c r="H68" s="40">
        <f>SUM(H69)</f>
        <v>50000</v>
      </c>
      <c r="I68" s="27">
        <f t="shared" si="35"/>
        <v>450000</v>
      </c>
      <c r="J68" s="254">
        <f>SUM(J69)</f>
        <v>200000</v>
      </c>
      <c r="K68" s="255">
        <f t="shared" si="35"/>
        <v>50000</v>
      </c>
      <c r="L68" s="255">
        <f t="shared" si="35"/>
        <v>100000</v>
      </c>
      <c r="M68" s="267">
        <f>SUM(M69)</f>
        <v>100000</v>
      </c>
      <c r="N68" s="256">
        <f t="shared" si="35"/>
        <v>100000</v>
      </c>
      <c r="O68" s="257">
        <f t="shared" si="35"/>
        <v>100000</v>
      </c>
    </row>
    <row r="69" spans="1:15" x14ac:dyDescent="0.25">
      <c r="A69" s="10" t="s">
        <v>105</v>
      </c>
      <c r="B69" s="191" t="s">
        <v>106</v>
      </c>
      <c r="C69" s="175">
        <v>26843.88</v>
      </c>
      <c r="D69" s="60">
        <v>100000</v>
      </c>
      <c r="E69" s="36">
        <v>100000</v>
      </c>
      <c r="F69" s="36">
        <v>190000</v>
      </c>
      <c r="G69" s="99">
        <v>153235.04999999999</v>
      </c>
      <c r="H69" s="60">
        <v>50000</v>
      </c>
      <c r="I69" s="29">
        <v>450000</v>
      </c>
      <c r="J69" s="258">
        <v>200000</v>
      </c>
      <c r="K69" s="268">
        <v>50000</v>
      </c>
      <c r="L69" s="268">
        <v>100000</v>
      </c>
      <c r="M69" s="260">
        <v>100000</v>
      </c>
      <c r="N69" s="269">
        <v>100000</v>
      </c>
      <c r="O69" s="262">
        <v>100000</v>
      </c>
    </row>
    <row r="70" spans="1:15" x14ac:dyDescent="0.25">
      <c r="A70" s="9" t="s">
        <v>107</v>
      </c>
      <c r="B70" s="190" t="s">
        <v>108</v>
      </c>
      <c r="C70" s="98">
        <f>SUM(C71)</f>
        <v>0</v>
      </c>
      <c r="D70" s="40">
        <f>SUM(D71)</f>
        <v>800000</v>
      </c>
      <c r="E70" s="35">
        <f t="shared" ref="E70" si="36">SUM(E71)</f>
        <v>0</v>
      </c>
      <c r="F70" s="27">
        <f>F71</f>
        <v>0</v>
      </c>
      <c r="G70" s="83">
        <f>G71</f>
        <v>0</v>
      </c>
      <c r="H70" s="40">
        <f>H71</f>
        <v>0</v>
      </c>
      <c r="I70" s="27">
        <f t="shared" ref="I70:O70" si="37">SUM(I71)</f>
        <v>0</v>
      </c>
      <c r="J70" s="254">
        <f t="shared" si="37"/>
        <v>0</v>
      </c>
      <c r="K70" s="255">
        <f t="shared" si="37"/>
        <v>0</v>
      </c>
      <c r="L70" s="255">
        <f t="shared" si="37"/>
        <v>0</v>
      </c>
      <c r="M70" s="267">
        <f t="shared" si="37"/>
        <v>0</v>
      </c>
      <c r="N70" s="256">
        <f t="shared" si="37"/>
        <v>800000</v>
      </c>
      <c r="O70" s="257">
        <f t="shared" si="37"/>
        <v>0</v>
      </c>
    </row>
    <row r="71" spans="1:15" x14ac:dyDescent="0.25">
      <c r="A71" s="10" t="s">
        <v>146</v>
      </c>
      <c r="B71" s="191" t="s">
        <v>109</v>
      </c>
      <c r="C71" s="175">
        <v>0</v>
      </c>
      <c r="D71" s="60">
        <v>800000</v>
      </c>
      <c r="E71" s="36">
        <v>0</v>
      </c>
      <c r="F71" s="36">
        <v>0</v>
      </c>
      <c r="G71" s="99">
        <v>0</v>
      </c>
      <c r="H71" s="60">
        <v>0</v>
      </c>
      <c r="I71" s="29">
        <v>0</v>
      </c>
      <c r="J71" s="258">
        <v>0</v>
      </c>
      <c r="K71" s="268">
        <v>0</v>
      </c>
      <c r="L71" s="268">
        <v>0</v>
      </c>
      <c r="M71" s="260">
        <v>0</v>
      </c>
      <c r="N71" s="269">
        <v>800000</v>
      </c>
      <c r="O71" s="262">
        <v>0</v>
      </c>
    </row>
    <row r="72" spans="1:15" x14ac:dyDescent="0.25">
      <c r="A72" s="8" t="s">
        <v>7</v>
      </c>
      <c r="B72" s="184" t="s">
        <v>8</v>
      </c>
      <c r="C72" s="129">
        <f>SUM(C73)</f>
        <v>282070.21999999997</v>
      </c>
      <c r="D72" s="39">
        <f t="shared" ref="D72:O73" si="38">SUM(D73)</f>
        <v>300000</v>
      </c>
      <c r="E72" s="34">
        <f t="shared" si="38"/>
        <v>26056.61</v>
      </c>
      <c r="F72" s="26">
        <f>F73</f>
        <v>200000</v>
      </c>
      <c r="G72" s="86">
        <f>G73</f>
        <v>86554.9</v>
      </c>
      <c r="H72" s="39">
        <f>H73</f>
        <v>300000</v>
      </c>
      <c r="I72" s="26">
        <f>SUM(I73)</f>
        <v>300000</v>
      </c>
      <c r="J72" s="247">
        <f>J73+J75</f>
        <v>300000</v>
      </c>
      <c r="K72" s="248">
        <f t="shared" ref="K72:N72" si="39">SUM(K73)</f>
        <v>300000</v>
      </c>
      <c r="L72" s="248">
        <f t="shared" si="39"/>
        <v>300000</v>
      </c>
      <c r="M72" s="273">
        <f>M73+M75</f>
        <v>300000</v>
      </c>
      <c r="N72" s="249">
        <f t="shared" si="39"/>
        <v>300000</v>
      </c>
      <c r="O72" s="247">
        <f>O73+O75</f>
        <v>300000</v>
      </c>
    </row>
    <row r="73" spans="1:15" x14ac:dyDescent="0.25">
      <c r="A73" s="9" t="s">
        <v>43</v>
      </c>
      <c r="B73" s="190" t="s">
        <v>44</v>
      </c>
      <c r="C73" s="98">
        <f>SUM(C74)</f>
        <v>282070.21999999997</v>
      </c>
      <c r="D73" s="40">
        <f t="shared" si="38"/>
        <v>300000</v>
      </c>
      <c r="E73" s="35">
        <f t="shared" si="38"/>
        <v>26056.61</v>
      </c>
      <c r="F73" s="27">
        <f>SUM(F74)</f>
        <v>200000</v>
      </c>
      <c r="G73" s="83">
        <f>SUM(G74)</f>
        <v>86554.9</v>
      </c>
      <c r="H73" s="40">
        <f>SUM(H74)</f>
        <v>300000</v>
      </c>
      <c r="I73" s="27">
        <f t="shared" si="38"/>
        <v>300000</v>
      </c>
      <c r="J73" s="254">
        <f>SUM(J74)</f>
        <v>300000</v>
      </c>
      <c r="K73" s="255">
        <f t="shared" si="38"/>
        <v>300000</v>
      </c>
      <c r="L73" s="255">
        <f t="shared" si="38"/>
        <v>300000</v>
      </c>
      <c r="M73" s="254">
        <f>SUM(M74)</f>
        <v>300000</v>
      </c>
      <c r="N73" s="256">
        <f t="shared" si="38"/>
        <v>300000</v>
      </c>
      <c r="O73" s="257">
        <f t="shared" si="38"/>
        <v>300000</v>
      </c>
    </row>
    <row r="74" spans="1:15" x14ac:dyDescent="0.25">
      <c r="A74" s="10" t="s">
        <v>110</v>
      </c>
      <c r="B74" s="191" t="s">
        <v>111</v>
      </c>
      <c r="C74" s="175">
        <v>282070.21999999997</v>
      </c>
      <c r="D74" s="60">
        <v>300000</v>
      </c>
      <c r="E74" s="36">
        <v>26056.61</v>
      </c>
      <c r="F74" s="36">
        <v>200000</v>
      </c>
      <c r="G74" s="99">
        <v>86554.9</v>
      </c>
      <c r="H74" s="60">
        <v>300000</v>
      </c>
      <c r="I74" s="29">
        <v>300000</v>
      </c>
      <c r="J74" s="258">
        <v>300000</v>
      </c>
      <c r="K74" s="268">
        <v>300000</v>
      </c>
      <c r="L74" s="268">
        <v>300000</v>
      </c>
      <c r="M74" s="260">
        <v>300000</v>
      </c>
      <c r="N74" s="269">
        <v>300000</v>
      </c>
      <c r="O74" s="262">
        <v>300000</v>
      </c>
    </row>
    <row r="75" spans="1:15" x14ac:dyDescent="0.25">
      <c r="A75" s="9" t="s">
        <v>76</v>
      </c>
      <c r="B75" s="190" t="s">
        <v>77</v>
      </c>
      <c r="C75" s="175"/>
      <c r="D75" s="60"/>
      <c r="E75" s="36"/>
      <c r="F75" s="217"/>
      <c r="G75" s="218"/>
      <c r="H75" s="219"/>
      <c r="I75" s="220"/>
      <c r="J75" s="274">
        <f>SUM(J76)</f>
        <v>0</v>
      </c>
      <c r="K75" s="275"/>
      <c r="L75" s="275"/>
      <c r="M75" s="274">
        <f>M76</f>
        <v>0</v>
      </c>
      <c r="N75" s="276"/>
      <c r="O75" s="277">
        <f>O76</f>
        <v>0</v>
      </c>
    </row>
    <row r="76" spans="1:15" x14ac:dyDescent="0.25">
      <c r="A76" s="13" t="s">
        <v>90</v>
      </c>
      <c r="B76" s="191" t="s">
        <v>77</v>
      </c>
      <c r="C76" s="175"/>
      <c r="D76" s="60"/>
      <c r="E76" s="36"/>
      <c r="F76" s="36"/>
      <c r="G76" s="99"/>
      <c r="H76" s="60"/>
      <c r="I76" s="29"/>
      <c r="J76" s="260"/>
      <c r="K76" s="268"/>
      <c r="L76" s="268"/>
      <c r="M76" s="260"/>
      <c r="N76" s="269"/>
      <c r="O76" s="262"/>
    </row>
    <row r="77" spans="1:15" x14ac:dyDescent="0.25">
      <c r="A77" s="8" t="s">
        <v>9</v>
      </c>
      <c r="B77" s="184" t="s">
        <v>10</v>
      </c>
      <c r="C77" s="129">
        <f>SUM(C78)</f>
        <v>99918</v>
      </c>
      <c r="D77" s="39">
        <f t="shared" ref="D77:L78" si="40">SUM(D78)</f>
        <v>160000</v>
      </c>
      <c r="E77" s="34">
        <f t="shared" si="40"/>
        <v>0</v>
      </c>
      <c r="F77" s="26">
        <f>F78</f>
        <v>160000</v>
      </c>
      <c r="G77" s="86">
        <f>G78</f>
        <v>16608.849999999999</v>
      </c>
      <c r="H77" s="39">
        <f>H78</f>
        <v>160000</v>
      </c>
      <c r="I77" s="26">
        <f>SUM(I78)</f>
        <v>160000</v>
      </c>
      <c r="J77" s="247">
        <f>J78</f>
        <v>160000</v>
      </c>
      <c r="K77" s="248">
        <f t="shared" ref="K77:O77" si="41">SUM(K78)</f>
        <v>160000</v>
      </c>
      <c r="L77" s="248">
        <f t="shared" si="41"/>
        <v>160000</v>
      </c>
      <c r="M77" s="273">
        <f>M78</f>
        <v>160000</v>
      </c>
      <c r="N77" s="249">
        <f t="shared" si="41"/>
        <v>160000</v>
      </c>
      <c r="O77" s="247">
        <f t="shared" si="41"/>
        <v>160000</v>
      </c>
    </row>
    <row r="78" spans="1:15" x14ac:dyDescent="0.25">
      <c r="A78" s="9" t="s">
        <v>33</v>
      </c>
      <c r="B78" s="190" t="s">
        <v>34</v>
      </c>
      <c r="C78" s="98">
        <f>SUM(C79)</f>
        <v>99918</v>
      </c>
      <c r="D78" s="40">
        <f t="shared" si="40"/>
        <v>160000</v>
      </c>
      <c r="E78" s="35">
        <f t="shared" si="40"/>
        <v>0</v>
      </c>
      <c r="F78" s="27">
        <f>SUM(F79)</f>
        <v>160000</v>
      </c>
      <c r="G78" s="83">
        <f>SUM(G79)</f>
        <v>16608.849999999999</v>
      </c>
      <c r="H78" s="40">
        <f>SUM(H79)</f>
        <v>160000</v>
      </c>
      <c r="I78" s="27">
        <f t="shared" si="40"/>
        <v>160000</v>
      </c>
      <c r="J78" s="257">
        <f>SUM(J79)</f>
        <v>160000</v>
      </c>
      <c r="K78" s="255">
        <f t="shared" si="40"/>
        <v>160000</v>
      </c>
      <c r="L78" s="255">
        <f t="shared" si="40"/>
        <v>160000</v>
      </c>
      <c r="M78" s="267">
        <f>SUM(M79)</f>
        <v>160000</v>
      </c>
      <c r="N78" s="256">
        <f>SUM(N79)</f>
        <v>160000</v>
      </c>
      <c r="O78" s="257">
        <f>SUM(O79)</f>
        <v>160000</v>
      </c>
    </row>
    <row r="79" spans="1:15" ht="15.75" thickBot="1" x14ac:dyDescent="0.3">
      <c r="A79" s="11" t="s">
        <v>35</v>
      </c>
      <c r="B79" s="192" t="s">
        <v>36</v>
      </c>
      <c r="C79" s="176">
        <v>99918</v>
      </c>
      <c r="D79" s="62">
        <v>160000</v>
      </c>
      <c r="E79" s="59">
        <v>0</v>
      </c>
      <c r="F79" s="59">
        <v>160000</v>
      </c>
      <c r="G79" s="128">
        <v>16608.849999999999</v>
      </c>
      <c r="H79" s="62">
        <v>160000</v>
      </c>
      <c r="I79" s="30">
        <v>160000</v>
      </c>
      <c r="J79" s="278">
        <v>160000</v>
      </c>
      <c r="K79" s="279">
        <v>160000</v>
      </c>
      <c r="L79" s="279">
        <v>160000</v>
      </c>
      <c r="M79" s="280">
        <v>160000</v>
      </c>
      <c r="N79" s="281">
        <v>160000</v>
      </c>
      <c r="O79" s="282">
        <v>160000</v>
      </c>
    </row>
    <row r="80" spans="1:15" x14ac:dyDescent="0.25">
      <c r="A80" s="7" t="s">
        <v>112</v>
      </c>
      <c r="B80" s="188" t="s">
        <v>113</v>
      </c>
      <c r="C80" s="156">
        <f t="shared" ref="C80:E80" si="42">C81</f>
        <v>19186311.949999999</v>
      </c>
      <c r="D80" s="38">
        <f t="shared" si="42"/>
        <v>30367821</v>
      </c>
      <c r="E80" s="33">
        <f t="shared" si="42"/>
        <v>713538.24</v>
      </c>
      <c r="F80" s="25">
        <f>F81</f>
        <v>22531886</v>
      </c>
      <c r="G80" s="33">
        <f>G81</f>
        <v>6642608.7200000007</v>
      </c>
      <c r="H80" s="25">
        <f>H81</f>
        <v>21622368</v>
      </c>
      <c r="I80" s="25">
        <f>I81</f>
        <v>33373775</v>
      </c>
      <c r="J80" s="283">
        <f>J81</f>
        <v>28116875</v>
      </c>
      <c r="K80" s="244">
        <f t="shared" ref="K80:O80" si="43">K81</f>
        <v>21270543</v>
      </c>
      <c r="L80" s="244">
        <f t="shared" si="43"/>
        <v>30594975</v>
      </c>
      <c r="M80" s="283">
        <f>M81</f>
        <v>27845375</v>
      </c>
      <c r="N80" s="245">
        <f t="shared" si="43"/>
        <v>30608775</v>
      </c>
      <c r="O80" s="246">
        <f t="shared" si="43"/>
        <v>27357561</v>
      </c>
    </row>
    <row r="81" spans="1:15" x14ac:dyDescent="0.25">
      <c r="A81" s="8" t="s">
        <v>5</v>
      </c>
      <c r="B81" s="184" t="s">
        <v>6</v>
      </c>
      <c r="C81" s="129">
        <f>C85+C90+C93+C96+C101+C83</f>
        <v>19186311.949999999</v>
      </c>
      <c r="D81" s="39">
        <f t="shared" ref="D81:E81" si="44">D85+D90+D93+D96+D101+D83</f>
        <v>30367821</v>
      </c>
      <c r="E81" s="34">
        <f t="shared" si="44"/>
        <v>713538.24</v>
      </c>
      <c r="F81" s="26">
        <f>F82+F92+F95</f>
        <v>22531886</v>
      </c>
      <c r="G81" s="86">
        <f>G82+G92+G95</f>
        <v>6642608.7200000007</v>
      </c>
      <c r="H81" s="39">
        <f>H82+H92+H95</f>
        <v>21622368</v>
      </c>
      <c r="I81" s="26">
        <f>I85+I90+I93+I96+I101+I83</f>
        <v>33373775</v>
      </c>
      <c r="J81" s="247">
        <f>J82+J95</f>
        <v>28116875</v>
      </c>
      <c r="K81" s="249">
        <f>K82+K92+K95</f>
        <v>21270543</v>
      </c>
      <c r="L81" s="248">
        <f t="shared" ref="L81" si="45">L85+L90+L93+L96+L101+L83</f>
        <v>30594975</v>
      </c>
      <c r="M81" s="247">
        <f>M82+M95</f>
        <v>27845375</v>
      </c>
      <c r="N81" s="249">
        <f t="shared" ref="N81" si="46">N85+N90+N93+N96+N101+N83</f>
        <v>30608775</v>
      </c>
      <c r="O81" s="247">
        <f>O82+O95</f>
        <v>27357561</v>
      </c>
    </row>
    <row r="82" spans="1:15" x14ac:dyDescent="0.25">
      <c r="A82" s="52" t="s">
        <v>155</v>
      </c>
      <c r="B82" s="189" t="s">
        <v>164</v>
      </c>
      <c r="C82" s="130"/>
      <c r="D82" s="56"/>
      <c r="E82" s="57"/>
      <c r="F82" s="53">
        <f>F83+F85</f>
        <v>21788229</v>
      </c>
      <c r="G82" s="87">
        <f t="shared" ref="G82:O82" si="47">G83+G85+G90</f>
        <v>6551811.0700000003</v>
      </c>
      <c r="H82" s="56">
        <f t="shared" si="47"/>
        <v>19934368</v>
      </c>
      <c r="I82" s="53">
        <f t="shared" si="47"/>
        <v>30384525</v>
      </c>
      <c r="J82" s="250">
        <f t="shared" si="47"/>
        <v>24715000</v>
      </c>
      <c r="K82" s="251">
        <f t="shared" si="47"/>
        <v>19754418</v>
      </c>
      <c r="L82" s="251">
        <f t="shared" si="47"/>
        <v>27308725</v>
      </c>
      <c r="M82" s="250">
        <f>M83+M85</f>
        <v>24856000</v>
      </c>
      <c r="N82" s="252">
        <f t="shared" si="47"/>
        <v>27598275</v>
      </c>
      <c r="O82" s="253">
        <f t="shared" si="47"/>
        <v>25070061</v>
      </c>
    </row>
    <row r="83" spans="1:15" x14ac:dyDescent="0.25">
      <c r="A83" s="9" t="s">
        <v>43</v>
      </c>
      <c r="B83" s="190" t="s">
        <v>44</v>
      </c>
      <c r="C83" s="164">
        <f>C84</f>
        <v>0</v>
      </c>
      <c r="D83" s="81">
        <f t="shared" ref="D83:O83" si="48">D84</f>
        <v>50000</v>
      </c>
      <c r="E83" s="80">
        <f t="shared" si="48"/>
        <v>0</v>
      </c>
      <c r="F83" s="28">
        <f>SUM(F84)</f>
        <v>9500</v>
      </c>
      <c r="G83" s="204">
        <f>SUM(G84)</f>
        <v>7000</v>
      </c>
      <c r="H83" s="81">
        <f>SUM(H84)</f>
        <v>50000</v>
      </c>
      <c r="I83" s="28">
        <f t="shared" si="48"/>
        <v>50000</v>
      </c>
      <c r="J83" s="284">
        <f t="shared" si="48"/>
        <v>10000</v>
      </c>
      <c r="K83" s="285">
        <f>SUM(K84)</f>
        <v>50000</v>
      </c>
      <c r="L83" s="286">
        <f t="shared" si="48"/>
        <v>50000</v>
      </c>
      <c r="M83" s="284">
        <f t="shared" si="48"/>
        <v>10000</v>
      </c>
      <c r="N83" s="285">
        <f t="shared" si="48"/>
        <v>50000</v>
      </c>
      <c r="O83" s="287">
        <f t="shared" si="48"/>
        <v>50000</v>
      </c>
    </row>
    <row r="84" spans="1:15" x14ac:dyDescent="0.25">
      <c r="A84" s="10" t="s">
        <v>49</v>
      </c>
      <c r="B84" s="191" t="s">
        <v>50</v>
      </c>
      <c r="C84" s="101">
        <v>0</v>
      </c>
      <c r="D84" s="60">
        <v>50000</v>
      </c>
      <c r="E84" s="36">
        <v>0</v>
      </c>
      <c r="F84" s="36">
        <v>9500</v>
      </c>
      <c r="G84" s="99">
        <v>7000</v>
      </c>
      <c r="H84" s="60">
        <v>50000</v>
      </c>
      <c r="I84" s="29">
        <v>50000</v>
      </c>
      <c r="J84" s="258">
        <v>10000</v>
      </c>
      <c r="K84" s="268">
        <v>50000</v>
      </c>
      <c r="L84" s="268">
        <v>50000</v>
      </c>
      <c r="M84" s="260">
        <v>10000</v>
      </c>
      <c r="N84" s="269">
        <v>50000</v>
      </c>
      <c r="O84" s="262">
        <v>50000</v>
      </c>
    </row>
    <row r="85" spans="1:15" x14ac:dyDescent="0.25">
      <c r="A85" s="9" t="s">
        <v>55</v>
      </c>
      <c r="B85" s="190" t="s">
        <v>56</v>
      </c>
      <c r="C85" s="98">
        <f>SUM(C86:C89)</f>
        <v>17258250</v>
      </c>
      <c r="D85" s="40">
        <f>SUM(D86:D89)</f>
        <v>26697321</v>
      </c>
      <c r="E85" s="35">
        <f t="shared" ref="E85:O85" si="49">SUM(E86:E89)</f>
        <v>540942.93999999994</v>
      </c>
      <c r="F85" s="27">
        <f t="shared" si="49"/>
        <v>21778729</v>
      </c>
      <c r="G85" s="83">
        <f t="shared" si="49"/>
        <v>6544811.0700000003</v>
      </c>
      <c r="H85" s="40">
        <f t="shared" si="49"/>
        <v>19821868</v>
      </c>
      <c r="I85" s="27">
        <f t="shared" si="49"/>
        <v>30272025</v>
      </c>
      <c r="J85" s="257">
        <f>SUM(J86:J89)</f>
        <v>24705000</v>
      </c>
      <c r="K85" s="255">
        <f t="shared" si="49"/>
        <v>19641918</v>
      </c>
      <c r="L85" s="255">
        <f t="shared" si="49"/>
        <v>27196225</v>
      </c>
      <c r="M85" s="257">
        <f t="shared" si="49"/>
        <v>24846000</v>
      </c>
      <c r="N85" s="256">
        <f t="shared" si="49"/>
        <v>27485775</v>
      </c>
      <c r="O85" s="257">
        <f t="shared" si="49"/>
        <v>25020061</v>
      </c>
    </row>
    <row r="86" spans="1:15" x14ac:dyDescent="0.25">
      <c r="A86" s="10" t="s">
        <v>59</v>
      </c>
      <c r="B86" s="191" t="s">
        <v>60</v>
      </c>
      <c r="C86" s="175">
        <v>4783769.1100000003</v>
      </c>
      <c r="D86" s="60">
        <v>6560781</v>
      </c>
      <c r="E86" s="36">
        <v>52500</v>
      </c>
      <c r="F86" s="36">
        <v>4139909</v>
      </c>
      <c r="G86" s="99">
        <v>2229187.5</v>
      </c>
      <c r="H86" s="60">
        <v>6560780</v>
      </c>
      <c r="I86" s="29">
        <f>4147000+3931250</f>
        <v>8078250</v>
      </c>
      <c r="J86" s="258">
        <v>4950000</v>
      </c>
      <c r="K86" s="268">
        <v>6386918</v>
      </c>
      <c r="L86" s="268">
        <f>4115700+3931250</f>
        <v>8046950</v>
      </c>
      <c r="M86" s="260">
        <v>5051000</v>
      </c>
      <c r="N86" s="269">
        <f>4173750+3931250</f>
        <v>8105000</v>
      </c>
      <c r="O86" s="262">
        <v>5060000</v>
      </c>
    </row>
    <row r="87" spans="1:15" x14ac:dyDescent="0.25">
      <c r="A87" s="10" t="s">
        <v>65</v>
      </c>
      <c r="B87" s="191" t="s">
        <v>66</v>
      </c>
      <c r="C87" s="175">
        <v>2679264.9</v>
      </c>
      <c r="D87" s="60">
        <v>4000000</v>
      </c>
      <c r="E87" s="36">
        <v>153715.49</v>
      </c>
      <c r="F87" s="36">
        <v>2200000</v>
      </c>
      <c r="G87" s="99">
        <v>326348.56</v>
      </c>
      <c r="H87" s="60">
        <v>3106088</v>
      </c>
      <c r="I87" s="29">
        <f>4861775+500000</f>
        <v>5361775</v>
      </c>
      <c r="J87" s="258">
        <v>4700000</v>
      </c>
      <c r="K87" s="268">
        <v>3100000</v>
      </c>
      <c r="L87" s="268">
        <f>3624275+100000</f>
        <v>3724275</v>
      </c>
      <c r="M87" s="260">
        <v>4900000</v>
      </c>
      <c r="N87" s="269">
        <f>3624275+100000</f>
        <v>3724275</v>
      </c>
      <c r="O87" s="262">
        <v>4905061</v>
      </c>
    </row>
    <row r="88" spans="1:15" x14ac:dyDescent="0.25">
      <c r="A88" s="10" t="s">
        <v>69</v>
      </c>
      <c r="B88" s="191" t="s">
        <v>70</v>
      </c>
      <c r="C88" s="175">
        <v>48282.5</v>
      </c>
      <c r="D88" s="60">
        <v>250000</v>
      </c>
      <c r="E88" s="36">
        <v>0</v>
      </c>
      <c r="F88" s="36">
        <v>161500</v>
      </c>
      <c r="G88" s="99">
        <v>25312.5</v>
      </c>
      <c r="H88" s="60">
        <v>155000</v>
      </c>
      <c r="I88" s="29">
        <v>155000</v>
      </c>
      <c r="J88" s="258">
        <v>155000</v>
      </c>
      <c r="K88" s="268">
        <v>155000</v>
      </c>
      <c r="L88" s="268">
        <v>155000</v>
      </c>
      <c r="M88" s="260">
        <v>155000</v>
      </c>
      <c r="N88" s="269">
        <v>155000</v>
      </c>
      <c r="O88" s="262">
        <v>155000</v>
      </c>
    </row>
    <row r="89" spans="1:15" x14ac:dyDescent="0.25">
      <c r="A89" s="10" t="s">
        <v>114</v>
      </c>
      <c r="B89" s="191" t="s">
        <v>115</v>
      </c>
      <c r="C89" s="175">
        <v>9746933.4900000002</v>
      </c>
      <c r="D89" s="60">
        <v>15886540</v>
      </c>
      <c r="E89" s="36">
        <v>334727.45</v>
      </c>
      <c r="F89" s="36">
        <v>15277320</v>
      </c>
      <c r="G89" s="99">
        <v>3963962.51</v>
      </c>
      <c r="H89" s="60">
        <v>10000000</v>
      </c>
      <c r="I89" s="29">
        <f>16677000</f>
        <v>16677000</v>
      </c>
      <c r="J89" s="258">
        <v>14900000</v>
      </c>
      <c r="K89" s="268">
        <v>10000000</v>
      </c>
      <c r="L89" s="268">
        <f>15270000</f>
        <v>15270000</v>
      </c>
      <c r="M89" s="260">
        <f>15500000-760000</f>
        <v>14740000</v>
      </c>
      <c r="N89" s="269">
        <f>15501500</f>
        <v>15501500</v>
      </c>
      <c r="O89" s="262">
        <v>14900000</v>
      </c>
    </row>
    <row r="90" spans="1:15" x14ac:dyDescent="0.25">
      <c r="A90" s="9" t="s">
        <v>76</v>
      </c>
      <c r="B90" s="190" t="s">
        <v>77</v>
      </c>
      <c r="C90" s="98">
        <f t="shared" ref="C90:O90" si="50">SUM(C91)</f>
        <v>11250</v>
      </c>
      <c r="D90" s="40">
        <f t="shared" si="50"/>
        <v>62500</v>
      </c>
      <c r="E90" s="35">
        <f t="shared" si="50"/>
        <v>0</v>
      </c>
      <c r="F90" s="27">
        <f>SUM(F91)</f>
        <v>0</v>
      </c>
      <c r="G90" s="83">
        <f>SUM(G91)</f>
        <v>0</v>
      </c>
      <c r="H90" s="40">
        <f>SUM(H91)</f>
        <v>62500</v>
      </c>
      <c r="I90" s="27">
        <f t="shared" si="50"/>
        <v>62500</v>
      </c>
      <c r="J90" s="254">
        <f t="shared" si="50"/>
        <v>0</v>
      </c>
      <c r="K90" s="255">
        <f t="shared" si="50"/>
        <v>62500</v>
      </c>
      <c r="L90" s="255">
        <f t="shared" si="50"/>
        <v>62500</v>
      </c>
      <c r="M90" s="254">
        <f t="shared" si="50"/>
        <v>0</v>
      </c>
      <c r="N90" s="256">
        <f t="shared" si="50"/>
        <v>62500</v>
      </c>
      <c r="O90" s="257">
        <f t="shared" si="50"/>
        <v>0</v>
      </c>
    </row>
    <row r="91" spans="1:15" x14ac:dyDescent="0.25">
      <c r="A91" s="10" t="s">
        <v>86</v>
      </c>
      <c r="B91" s="191" t="s">
        <v>87</v>
      </c>
      <c r="C91" s="175">
        <v>11250</v>
      </c>
      <c r="D91" s="60">
        <v>62500</v>
      </c>
      <c r="E91" s="36">
        <v>0</v>
      </c>
      <c r="F91" s="36">
        <v>0</v>
      </c>
      <c r="G91" s="99">
        <v>0</v>
      </c>
      <c r="H91" s="60">
        <v>62500</v>
      </c>
      <c r="I91" s="29">
        <v>62500</v>
      </c>
      <c r="J91" s="258">
        <v>0</v>
      </c>
      <c r="K91" s="268">
        <v>62500</v>
      </c>
      <c r="L91" s="268">
        <v>62500</v>
      </c>
      <c r="M91" s="260">
        <v>0</v>
      </c>
      <c r="N91" s="269">
        <v>62500</v>
      </c>
      <c r="O91" s="262">
        <v>0</v>
      </c>
    </row>
    <row r="92" spans="1:15" x14ac:dyDescent="0.25">
      <c r="A92" s="52" t="s">
        <v>158</v>
      </c>
      <c r="B92" s="189"/>
      <c r="C92" s="130"/>
      <c r="D92" s="67"/>
      <c r="E92" s="79"/>
      <c r="F92" s="54">
        <f t="shared" ref="F92:O92" si="51">F93</f>
        <v>0</v>
      </c>
      <c r="G92" s="148">
        <f t="shared" si="51"/>
        <v>0</v>
      </c>
      <c r="H92" s="67">
        <f t="shared" si="51"/>
        <v>12500</v>
      </c>
      <c r="I92" s="54">
        <f t="shared" si="51"/>
        <v>18750</v>
      </c>
      <c r="J92" s="263">
        <f t="shared" si="51"/>
        <v>0</v>
      </c>
      <c r="K92" s="265">
        <f t="shared" si="51"/>
        <v>12500</v>
      </c>
      <c r="L92" s="264">
        <f t="shared" si="51"/>
        <v>18750</v>
      </c>
      <c r="M92" s="263">
        <f t="shared" si="51"/>
        <v>0</v>
      </c>
      <c r="N92" s="265">
        <f t="shared" si="51"/>
        <v>18750</v>
      </c>
      <c r="O92" s="270">
        <f t="shared" si="51"/>
        <v>0</v>
      </c>
    </row>
    <row r="93" spans="1:15" x14ac:dyDescent="0.25">
      <c r="A93" s="9" t="s">
        <v>116</v>
      </c>
      <c r="B93" s="190" t="s">
        <v>117</v>
      </c>
      <c r="C93" s="98">
        <f>SUM(C94)</f>
        <v>0</v>
      </c>
      <c r="D93" s="40">
        <f t="shared" ref="D93:O93" si="52">SUM(D94)</f>
        <v>20000</v>
      </c>
      <c r="E93" s="35">
        <v>0</v>
      </c>
      <c r="F93" s="27">
        <f>SUM(F94)</f>
        <v>0</v>
      </c>
      <c r="G93" s="83">
        <f>SUM(G94)</f>
        <v>0</v>
      </c>
      <c r="H93" s="40">
        <f>SUM(H94)</f>
        <v>12500</v>
      </c>
      <c r="I93" s="27">
        <f t="shared" si="52"/>
        <v>18750</v>
      </c>
      <c r="J93" s="254">
        <f t="shared" si="52"/>
        <v>0</v>
      </c>
      <c r="K93" s="255">
        <f t="shared" si="52"/>
        <v>12500</v>
      </c>
      <c r="L93" s="255">
        <f t="shared" si="52"/>
        <v>18750</v>
      </c>
      <c r="M93" s="254">
        <f t="shared" si="52"/>
        <v>0</v>
      </c>
      <c r="N93" s="256">
        <f t="shared" si="52"/>
        <v>18750</v>
      </c>
      <c r="O93" s="257">
        <f t="shared" si="52"/>
        <v>0</v>
      </c>
    </row>
    <row r="94" spans="1:15" x14ac:dyDescent="0.25">
      <c r="A94" s="10" t="s">
        <v>118</v>
      </c>
      <c r="B94" s="191" t="s">
        <v>119</v>
      </c>
      <c r="C94" s="175">
        <v>0</v>
      </c>
      <c r="D94" s="60">
        <v>20000</v>
      </c>
      <c r="E94" s="36">
        <v>0</v>
      </c>
      <c r="F94" s="36">
        <v>0</v>
      </c>
      <c r="G94" s="99">
        <v>0</v>
      </c>
      <c r="H94" s="60">
        <v>12500</v>
      </c>
      <c r="I94" s="29">
        <v>18750</v>
      </c>
      <c r="J94" s="258">
        <v>0</v>
      </c>
      <c r="K94" s="268">
        <v>12500</v>
      </c>
      <c r="L94" s="268">
        <v>18750</v>
      </c>
      <c r="M94" s="260">
        <v>0</v>
      </c>
      <c r="N94" s="269">
        <v>18750</v>
      </c>
      <c r="O94" s="262">
        <v>0</v>
      </c>
    </row>
    <row r="95" spans="1:15" x14ac:dyDescent="0.25">
      <c r="A95" s="52" t="s">
        <v>157</v>
      </c>
      <c r="B95" s="189" t="s">
        <v>167</v>
      </c>
      <c r="C95" s="130"/>
      <c r="D95" s="67"/>
      <c r="E95" s="79"/>
      <c r="F95" s="54">
        <f>F96+F101</f>
        <v>743657</v>
      </c>
      <c r="G95" s="148">
        <f t="shared" ref="G95:O95" si="53">G96+G101</f>
        <v>90797.65</v>
      </c>
      <c r="H95" s="67">
        <f t="shared" si="53"/>
        <v>1675500</v>
      </c>
      <c r="I95" s="54">
        <f t="shared" si="53"/>
        <v>2970500</v>
      </c>
      <c r="J95" s="263">
        <f>J96+J101</f>
        <v>3401875</v>
      </c>
      <c r="K95" s="264">
        <f t="shared" si="53"/>
        <v>1503625</v>
      </c>
      <c r="L95" s="264">
        <f t="shared" si="53"/>
        <v>3267500</v>
      </c>
      <c r="M95" s="263">
        <f t="shared" si="53"/>
        <v>2989375</v>
      </c>
      <c r="N95" s="265">
        <f t="shared" si="53"/>
        <v>2991750</v>
      </c>
      <c r="O95" s="270">
        <f t="shared" si="53"/>
        <v>2287500</v>
      </c>
    </row>
    <row r="96" spans="1:15" x14ac:dyDescent="0.25">
      <c r="A96" s="9" t="s">
        <v>103</v>
      </c>
      <c r="B96" s="190" t="s">
        <v>104</v>
      </c>
      <c r="C96" s="98">
        <f t="shared" ref="C96:D96" si="54">SUM(C97:C99)</f>
        <v>1916811.9499999997</v>
      </c>
      <c r="D96" s="40">
        <f t="shared" si="54"/>
        <v>3527500</v>
      </c>
      <c r="E96" s="35">
        <f t="shared" ref="E96:N96" si="55">SUM(E97:E99)</f>
        <v>172595.3</v>
      </c>
      <c r="F96" s="27">
        <f t="shared" si="55"/>
        <v>743657</v>
      </c>
      <c r="G96" s="83">
        <f t="shared" si="55"/>
        <v>90797.65</v>
      </c>
      <c r="H96" s="40">
        <f t="shared" si="55"/>
        <v>1665000</v>
      </c>
      <c r="I96" s="27">
        <f t="shared" si="55"/>
        <v>2960000</v>
      </c>
      <c r="J96" s="257">
        <f>SUM(J97:J100)</f>
        <v>3214375</v>
      </c>
      <c r="K96" s="255">
        <f t="shared" si="55"/>
        <v>1493125</v>
      </c>
      <c r="L96" s="255">
        <f t="shared" si="55"/>
        <v>3257000</v>
      </c>
      <c r="M96" s="257">
        <f>SUM(M97:M100)</f>
        <v>2801875</v>
      </c>
      <c r="N96" s="256">
        <f t="shared" si="55"/>
        <v>2981250</v>
      </c>
      <c r="O96" s="257">
        <f>SUM(O97:O100)</f>
        <v>2100000</v>
      </c>
    </row>
    <row r="97" spans="1:15" x14ac:dyDescent="0.25">
      <c r="A97" s="10" t="s">
        <v>105</v>
      </c>
      <c r="B97" s="191" t="s">
        <v>106</v>
      </c>
      <c r="C97" s="175">
        <v>1661011.38</v>
      </c>
      <c r="D97" s="60">
        <v>2200000</v>
      </c>
      <c r="E97" s="36">
        <v>122562.5</v>
      </c>
      <c r="F97" s="36">
        <v>500000</v>
      </c>
      <c r="G97" s="99">
        <v>52250</v>
      </c>
      <c r="H97" s="60">
        <v>1650000</v>
      </c>
      <c r="I97" s="29">
        <v>2110000</v>
      </c>
      <c r="J97" s="258">
        <v>2200000</v>
      </c>
      <c r="K97" s="268">
        <v>1478125</v>
      </c>
      <c r="L97" s="268">
        <v>2707000</v>
      </c>
      <c r="M97" s="260">
        <v>1925000</v>
      </c>
      <c r="N97" s="269">
        <v>2731250</v>
      </c>
      <c r="O97" s="262">
        <v>1512500</v>
      </c>
    </row>
    <row r="98" spans="1:15" x14ac:dyDescent="0.25">
      <c r="A98" s="10" t="s">
        <v>120</v>
      </c>
      <c r="B98" s="191" t="s">
        <v>121</v>
      </c>
      <c r="C98" s="175">
        <v>5895.17</v>
      </c>
      <c r="D98" s="60">
        <v>15000</v>
      </c>
      <c r="E98" s="36">
        <v>50032.800000000003</v>
      </c>
      <c r="F98" s="36">
        <v>13657</v>
      </c>
      <c r="G98" s="99">
        <v>18542.009999999998</v>
      </c>
      <c r="H98" s="60">
        <v>15000</v>
      </c>
      <c r="I98" s="29">
        <v>25000</v>
      </c>
      <c r="J98" s="258">
        <v>14375</v>
      </c>
      <c r="K98" s="268">
        <v>15000</v>
      </c>
      <c r="L98" s="268">
        <v>25000</v>
      </c>
      <c r="M98" s="260">
        <v>14375</v>
      </c>
      <c r="N98" s="269">
        <v>25000</v>
      </c>
      <c r="O98" s="262">
        <v>25000</v>
      </c>
    </row>
    <row r="99" spans="1:15" x14ac:dyDescent="0.25">
      <c r="A99" s="12">
        <v>4223</v>
      </c>
      <c r="B99" s="193" t="s">
        <v>122</v>
      </c>
      <c r="C99" s="175">
        <v>249905.4</v>
      </c>
      <c r="D99" s="60">
        <v>1312500</v>
      </c>
      <c r="E99" s="36">
        <v>0</v>
      </c>
      <c r="F99" s="36">
        <v>230000</v>
      </c>
      <c r="G99" s="99">
        <v>20005.64</v>
      </c>
      <c r="H99" s="60">
        <v>0</v>
      </c>
      <c r="I99" s="29">
        <v>825000</v>
      </c>
      <c r="J99" s="258">
        <v>500000</v>
      </c>
      <c r="K99" s="268">
        <v>0</v>
      </c>
      <c r="L99" s="268">
        <v>525000</v>
      </c>
      <c r="M99" s="260">
        <v>362500</v>
      </c>
      <c r="N99" s="269">
        <v>225000</v>
      </c>
      <c r="O99" s="262">
        <v>62500</v>
      </c>
    </row>
    <row r="100" spans="1:15" x14ac:dyDescent="0.25">
      <c r="A100" s="10" t="s">
        <v>147</v>
      </c>
      <c r="B100" s="225" t="s">
        <v>137</v>
      </c>
      <c r="C100" s="179">
        <v>0</v>
      </c>
      <c r="D100" s="61">
        <v>0</v>
      </c>
      <c r="E100" s="37">
        <v>0</v>
      </c>
      <c r="F100" s="37">
        <v>0</v>
      </c>
      <c r="G100" s="95">
        <v>0</v>
      </c>
      <c r="H100" s="61">
        <v>0</v>
      </c>
      <c r="I100" s="226">
        <v>0</v>
      </c>
      <c r="J100" s="398">
        <v>500000</v>
      </c>
      <c r="K100" s="399">
        <v>0</v>
      </c>
      <c r="L100" s="399">
        <v>37500</v>
      </c>
      <c r="M100" s="400">
        <v>500000</v>
      </c>
      <c r="N100" s="300">
        <v>37500</v>
      </c>
      <c r="O100" s="299">
        <v>500000</v>
      </c>
    </row>
    <row r="101" spans="1:15" x14ac:dyDescent="0.25">
      <c r="A101" s="9" t="s">
        <v>123</v>
      </c>
      <c r="B101" s="190" t="s">
        <v>124</v>
      </c>
      <c r="C101" s="98">
        <f>SUM(C102)</f>
        <v>0</v>
      </c>
      <c r="D101" s="40">
        <f t="shared" ref="D101:O101" si="56">SUM(D102)</f>
        <v>10500</v>
      </c>
      <c r="E101" s="35">
        <f t="shared" si="56"/>
        <v>0</v>
      </c>
      <c r="F101" s="27">
        <f>F102</f>
        <v>0</v>
      </c>
      <c r="G101" s="83">
        <f>G102</f>
        <v>0</v>
      </c>
      <c r="H101" s="40">
        <f>H102</f>
        <v>10500</v>
      </c>
      <c r="I101" s="27">
        <f t="shared" si="56"/>
        <v>10500</v>
      </c>
      <c r="J101" s="257">
        <f t="shared" si="56"/>
        <v>187500</v>
      </c>
      <c r="K101" s="256">
        <f t="shared" si="56"/>
        <v>10500</v>
      </c>
      <c r="L101" s="256">
        <f t="shared" si="56"/>
        <v>10500</v>
      </c>
      <c r="M101" s="254">
        <f t="shared" si="56"/>
        <v>187500</v>
      </c>
      <c r="N101" s="256">
        <f t="shared" si="56"/>
        <v>10500</v>
      </c>
      <c r="O101" s="257">
        <f t="shared" si="56"/>
        <v>187500</v>
      </c>
    </row>
    <row r="102" spans="1:15" ht="15.75" thickBot="1" x14ac:dyDescent="0.3">
      <c r="A102" s="11" t="s">
        <v>125</v>
      </c>
      <c r="B102" s="192" t="s">
        <v>126</v>
      </c>
      <c r="C102" s="176">
        <v>0</v>
      </c>
      <c r="D102" s="62">
        <v>10500</v>
      </c>
      <c r="E102" s="59">
        <v>0</v>
      </c>
      <c r="F102" s="133">
        <v>0</v>
      </c>
      <c r="G102" s="128">
        <v>0</v>
      </c>
      <c r="H102" s="62">
        <v>10500</v>
      </c>
      <c r="I102" s="58">
        <v>10500</v>
      </c>
      <c r="J102" s="288">
        <v>187500</v>
      </c>
      <c r="K102" s="281">
        <v>10500</v>
      </c>
      <c r="L102" s="281">
        <v>10500</v>
      </c>
      <c r="M102" s="289">
        <v>187500</v>
      </c>
      <c r="N102" s="290">
        <v>10500</v>
      </c>
      <c r="O102" s="289">
        <v>187500</v>
      </c>
    </row>
    <row r="103" spans="1:15" x14ac:dyDescent="0.25">
      <c r="A103" s="7" t="s">
        <v>127</v>
      </c>
      <c r="B103" s="188" t="s">
        <v>128</v>
      </c>
      <c r="C103" s="33" t="e">
        <f>C106+#REF!</f>
        <v>#REF!</v>
      </c>
      <c r="D103" s="134" t="e">
        <f>D106+#REF!</f>
        <v>#REF!</v>
      </c>
      <c r="E103" s="134" t="e">
        <f>E106+#REF!</f>
        <v>#REF!</v>
      </c>
      <c r="F103" s="25">
        <f t="shared" ref="F103:O103" si="57">F104+F113</f>
        <v>247000</v>
      </c>
      <c r="G103" s="85">
        <f t="shared" si="57"/>
        <v>10000</v>
      </c>
      <c r="H103" s="38" t="e">
        <f t="shared" si="57"/>
        <v>#REF!</v>
      </c>
      <c r="I103" s="125" t="e">
        <f t="shared" si="57"/>
        <v>#REF!</v>
      </c>
      <c r="J103" s="246">
        <f t="shared" si="57"/>
        <v>230000</v>
      </c>
      <c r="K103" s="291" t="e">
        <f t="shared" si="57"/>
        <v>#REF!</v>
      </c>
      <c r="L103" s="291" t="e">
        <f t="shared" si="57"/>
        <v>#REF!</v>
      </c>
      <c r="M103" s="246">
        <f t="shared" si="57"/>
        <v>0</v>
      </c>
      <c r="N103" s="291" t="e">
        <f t="shared" si="57"/>
        <v>#REF!</v>
      </c>
      <c r="O103" s="292">
        <f t="shared" si="57"/>
        <v>0</v>
      </c>
    </row>
    <row r="104" spans="1:15" x14ac:dyDescent="0.25">
      <c r="A104" s="8" t="s">
        <v>5</v>
      </c>
      <c r="B104" s="184" t="s">
        <v>6</v>
      </c>
      <c r="C104" s="34" t="e">
        <f>C106+#REF!</f>
        <v>#REF!</v>
      </c>
      <c r="D104" s="135" t="e">
        <f>D106+#REF!</f>
        <v>#REF!</v>
      </c>
      <c r="E104" s="135" t="e">
        <f>E106+#REF!</f>
        <v>#REF!</v>
      </c>
      <c r="F104" s="26">
        <f>F105</f>
        <v>247000</v>
      </c>
      <c r="G104" s="86">
        <f>G105</f>
        <v>10000</v>
      </c>
      <c r="H104" s="39" t="e">
        <f>H105</f>
        <v>#REF!</v>
      </c>
      <c r="I104" s="96" t="e">
        <f>I106+#REF!</f>
        <v>#REF!</v>
      </c>
      <c r="J104" s="247">
        <f>J105</f>
        <v>230000</v>
      </c>
      <c r="K104" s="293" t="e">
        <f>K106+#REF!</f>
        <v>#REF!</v>
      </c>
      <c r="L104" s="293" t="e">
        <f>L106+#REF!</f>
        <v>#REF!</v>
      </c>
      <c r="M104" s="247">
        <f>M105</f>
        <v>0</v>
      </c>
      <c r="N104" s="294" t="e">
        <f>N106+#REF!</f>
        <v>#REF!</v>
      </c>
      <c r="O104" s="295">
        <f>O105</f>
        <v>0</v>
      </c>
    </row>
    <row r="105" spans="1:15" x14ac:dyDescent="0.25">
      <c r="A105" s="52" t="s">
        <v>155</v>
      </c>
      <c r="B105" s="189" t="s">
        <v>164</v>
      </c>
      <c r="C105" s="57"/>
      <c r="D105" s="136"/>
      <c r="E105" s="136"/>
      <c r="F105" s="53">
        <f>F106+F110</f>
        <v>247000</v>
      </c>
      <c r="G105" s="87">
        <f>G106+G110</f>
        <v>10000</v>
      </c>
      <c r="H105" s="56" t="e">
        <f>H106+H110+#REF!</f>
        <v>#REF!</v>
      </c>
      <c r="I105" s="97" t="e">
        <f>I106+#REF!</f>
        <v>#REF!</v>
      </c>
      <c r="J105" s="253">
        <f>J106+J110</f>
        <v>230000</v>
      </c>
      <c r="K105" s="296" t="e">
        <f>K106+#REF!</f>
        <v>#REF!</v>
      </c>
      <c r="L105" s="296" t="e">
        <f>L106+#REF!</f>
        <v>#REF!</v>
      </c>
      <c r="M105" s="253">
        <f>M106+M110</f>
        <v>0</v>
      </c>
      <c r="N105" s="296" t="e">
        <f>N106+#REF!</f>
        <v>#REF!</v>
      </c>
      <c r="O105" s="253">
        <f>O106+O110</f>
        <v>0</v>
      </c>
    </row>
    <row r="106" spans="1:15" x14ac:dyDescent="0.25">
      <c r="A106" s="9" t="s">
        <v>55</v>
      </c>
      <c r="B106" s="190" t="s">
        <v>56</v>
      </c>
      <c r="C106" s="35">
        <f>C107</f>
        <v>42026.13</v>
      </c>
      <c r="D106" s="137">
        <f t="shared" ref="D106:O106" si="58">D107</f>
        <v>30000</v>
      </c>
      <c r="E106" s="137">
        <f t="shared" si="58"/>
        <v>0</v>
      </c>
      <c r="F106" s="27">
        <f>SUM(F107:F109)</f>
        <v>118750</v>
      </c>
      <c r="G106" s="83">
        <f>SUM(G107:G109)</f>
        <v>0</v>
      </c>
      <c r="H106" s="40">
        <f>SUM(H107:H109)</f>
        <v>150000</v>
      </c>
      <c r="I106" s="126">
        <f t="shared" si="58"/>
        <v>150000</v>
      </c>
      <c r="J106" s="257">
        <f>SUM(J107:J109)</f>
        <v>110000</v>
      </c>
      <c r="K106" s="256">
        <f>K107</f>
        <v>0</v>
      </c>
      <c r="L106" s="256">
        <f>L107</f>
        <v>0</v>
      </c>
      <c r="M106" s="257">
        <f>M107</f>
        <v>0</v>
      </c>
      <c r="N106" s="256">
        <f t="shared" si="58"/>
        <v>30000</v>
      </c>
      <c r="O106" s="257">
        <f t="shared" si="58"/>
        <v>0</v>
      </c>
    </row>
    <row r="107" spans="1:15" x14ac:dyDescent="0.25">
      <c r="A107" s="10" t="s">
        <v>61</v>
      </c>
      <c r="B107" s="191" t="s">
        <v>62</v>
      </c>
      <c r="C107" s="177">
        <v>42026.13</v>
      </c>
      <c r="D107" s="138">
        <v>30000</v>
      </c>
      <c r="E107" s="138">
        <v>0</v>
      </c>
      <c r="F107" s="138">
        <v>33250</v>
      </c>
      <c r="G107" s="99">
        <v>0</v>
      </c>
      <c r="H107" s="60">
        <v>150000</v>
      </c>
      <c r="I107" s="68">
        <v>150000</v>
      </c>
      <c r="J107" s="262">
        <v>30000</v>
      </c>
      <c r="K107" s="269">
        <v>0</v>
      </c>
      <c r="L107" s="269">
        <v>0</v>
      </c>
      <c r="M107" s="262">
        <v>0</v>
      </c>
      <c r="N107" s="269">
        <v>30000</v>
      </c>
      <c r="O107" s="262">
        <v>0</v>
      </c>
    </row>
    <row r="108" spans="1:15" x14ac:dyDescent="0.25">
      <c r="A108" s="10" t="s">
        <v>65</v>
      </c>
      <c r="B108" s="191" t="s">
        <v>66</v>
      </c>
      <c r="C108" s="177"/>
      <c r="D108" s="138"/>
      <c r="E108" s="138"/>
      <c r="F108" s="138">
        <v>85500</v>
      </c>
      <c r="G108" s="99">
        <v>0</v>
      </c>
      <c r="H108" s="60"/>
      <c r="I108" s="68"/>
      <c r="J108" s="262">
        <v>40000</v>
      </c>
      <c r="K108" s="269">
        <v>0</v>
      </c>
      <c r="L108" s="269">
        <v>0</v>
      </c>
      <c r="M108" s="262">
        <v>0</v>
      </c>
      <c r="N108" s="269">
        <v>0</v>
      </c>
      <c r="O108" s="262"/>
    </row>
    <row r="109" spans="1:15" x14ac:dyDescent="0.25">
      <c r="A109" s="10" t="s">
        <v>69</v>
      </c>
      <c r="B109" s="191" t="s">
        <v>70</v>
      </c>
      <c r="C109" s="177"/>
      <c r="D109" s="138"/>
      <c r="E109" s="138"/>
      <c r="F109" s="138">
        <v>0</v>
      </c>
      <c r="G109" s="99">
        <v>0</v>
      </c>
      <c r="H109" s="60"/>
      <c r="I109" s="68"/>
      <c r="J109" s="262">
        <v>40000</v>
      </c>
      <c r="K109" s="269">
        <v>0</v>
      </c>
      <c r="L109" s="269">
        <v>0</v>
      </c>
      <c r="M109" s="262">
        <v>0</v>
      </c>
      <c r="N109" s="269">
        <v>0</v>
      </c>
      <c r="O109" s="262"/>
    </row>
    <row r="110" spans="1:15" x14ac:dyDescent="0.25">
      <c r="A110" s="9" t="s">
        <v>76</v>
      </c>
      <c r="B110" s="190" t="s">
        <v>77</v>
      </c>
      <c r="C110" s="177"/>
      <c r="D110" s="138"/>
      <c r="E110" s="138"/>
      <c r="F110" s="27">
        <f>SUM(F111:F112)</f>
        <v>128250</v>
      </c>
      <c r="G110" s="83">
        <f>SUM(G111:G112)</f>
        <v>10000</v>
      </c>
      <c r="H110" s="40">
        <f>SUM(H111)</f>
        <v>0</v>
      </c>
      <c r="I110" s="40">
        <f>SUM(I111)</f>
        <v>0</v>
      </c>
      <c r="J110" s="257">
        <f>SUM(J111:J112)</f>
        <v>120000</v>
      </c>
      <c r="K110" s="256">
        <f t="shared" ref="K110:L110" si="59">SUM(K111)</f>
        <v>0</v>
      </c>
      <c r="L110" s="256">
        <f t="shared" si="59"/>
        <v>0</v>
      </c>
      <c r="M110" s="257">
        <f>SUM(M111:M112)</f>
        <v>0</v>
      </c>
      <c r="N110" s="256">
        <f>SUM(N111)</f>
        <v>0</v>
      </c>
      <c r="O110" s="257">
        <f>SUM(O111:O112)</f>
        <v>0</v>
      </c>
    </row>
    <row r="111" spans="1:15" x14ac:dyDescent="0.25">
      <c r="A111" s="10" t="s">
        <v>82</v>
      </c>
      <c r="B111" s="191" t="s">
        <v>83</v>
      </c>
      <c r="C111" s="177"/>
      <c r="D111" s="138"/>
      <c r="E111" s="138"/>
      <c r="F111" s="138">
        <v>109250</v>
      </c>
      <c r="G111" s="99">
        <v>0</v>
      </c>
      <c r="H111" s="159"/>
      <c r="I111" s="159"/>
      <c r="J111" s="262">
        <v>70000</v>
      </c>
      <c r="K111" s="269">
        <v>0</v>
      </c>
      <c r="L111" s="269">
        <v>0</v>
      </c>
      <c r="M111" s="262">
        <v>0</v>
      </c>
      <c r="N111" s="297"/>
      <c r="O111" s="298"/>
    </row>
    <row r="112" spans="1:15" x14ac:dyDescent="0.25">
      <c r="A112" s="13" t="s">
        <v>90</v>
      </c>
      <c r="B112" s="191" t="s">
        <v>77</v>
      </c>
      <c r="C112" s="177">
        <v>194561.68</v>
      </c>
      <c r="D112" s="138">
        <v>70000</v>
      </c>
      <c r="E112" s="138">
        <v>10000</v>
      </c>
      <c r="F112" s="138">
        <v>19000</v>
      </c>
      <c r="G112" s="99">
        <v>10000</v>
      </c>
      <c r="H112" s="61">
        <v>550000</v>
      </c>
      <c r="I112" s="68">
        <v>550000</v>
      </c>
      <c r="J112" s="299">
        <v>50000</v>
      </c>
      <c r="K112" s="300">
        <v>0</v>
      </c>
      <c r="L112" s="300">
        <v>0</v>
      </c>
      <c r="M112" s="299"/>
      <c r="N112" s="300">
        <v>170000</v>
      </c>
      <c r="O112" s="299">
        <v>0</v>
      </c>
    </row>
    <row r="113" spans="1:15" x14ac:dyDescent="0.25">
      <c r="A113" s="8" t="s">
        <v>175</v>
      </c>
      <c r="B113" s="184" t="s">
        <v>176</v>
      </c>
      <c r="C113" s="86">
        <f>SUM(C115:C117)</f>
        <v>0</v>
      </c>
      <c r="D113" s="39">
        <f>SUM(D115:D117)</f>
        <v>304000</v>
      </c>
      <c r="E113" s="34">
        <f t="shared" ref="E113" si="60">SUM(E115)</f>
        <v>0</v>
      </c>
      <c r="F113" s="26">
        <f>F114</f>
        <v>0</v>
      </c>
      <c r="G113" s="86">
        <f>G114</f>
        <v>0</v>
      </c>
      <c r="H113" s="39">
        <f>H114</f>
        <v>200200</v>
      </c>
      <c r="I113" s="96">
        <f>SUM(I115:I117)</f>
        <v>200200</v>
      </c>
      <c r="J113" s="247">
        <f>J114</f>
        <v>0</v>
      </c>
      <c r="K113" s="293">
        <f t="shared" ref="K113:O113" si="61">SUM(K115:K117)</f>
        <v>0</v>
      </c>
      <c r="L113" s="293">
        <f t="shared" si="61"/>
        <v>0</v>
      </c>
      <c r="M113" s="247">
        <f t="shared" si="61"/>
        <v>0</v>
      </c>
      <c r="N113" s="293">
        <f t="shared" si="61"/>
        <v>0</v>
      </c>
      <c r="O113" s="247">
        <f t="shared" si="61"/>
        <v>0</v>
      </c>
    </row>
    <row r="114" spans="1:15" x14ac:dyDescent="0.25">
      <c r="A114" s="52" t="s">
        <v>155</v>
      </c>
      <c r="B114" s="189" t="s">
        <v>164</v>
      </c>
      <c r="C114" s="87"/>
      <c r="D114" s="56"/>
      <c r="E114" s="130"/>
      <c r="F114" s="53">
        <f>SUM(F115:F117)</f>
        <v>0</v>
      </c>
      <c r="G114" s="87">
        <f>SUM(G115:G117)</f>
        <v>0</v>
      </c>
      <c r="H114" s="56">
        <f>SUM(H115:H117)</f>
        <v>200200</v>
      </c>
      <c r="I114" s="97">
        <f>I115+I116+I117</f>
        <v>200200</v>
      </c>
      <c r="J114" s="253">
        <f>SUM(J115:J117)</f>
        <v>0</v>
      </c>
      <c r="K114" s="296">
        <f t="shared" ref="K114:O114" si="62">K115+K116+K117</f>
        <v>0</v>
      </c>
      <c r="L114" s="296">
        <f t="shared" si="62"/>
        <v>0</v>
      </c>
      <c r="M114" s="253">
        <f t="shared" si="62"/>
        <v>0</v>
      </c>
      <c r="N114" s="296">
        <f t="shared" si="62"/>
        <v>0</v>
      </c>
      <c r="O114" s="253">
        <f t="shared" si="62"/>
        <v>0</v>
      </c>
    </row>
    <row r="115" spans="1:15" x14ac:dyDescent="0.25">
      <c r="A115" s="10" t="s">
        <v>61</v>
      </c>
      <c r="B115" s="191" t="s">
        <v>62</v>
      </c>
      <c r="C115" s="160">
        <v>0</v>
      </c>
      <c r="D115" s="41">
        <v>100000</v>
      </c>
      <c r="E115" s="131">
        <v>0</v>
      </c>
      <c r="F115" s="139">
        <v>0</v>
      </c>
      <c r="G115" s="131">
        <v>0</v>
      </c>
      <c r="H115" s="166">
        <v>70000</v>
      </c>
      <c r="I115" s="157">
        <v>70000</v>
      </c>
      <c r="J115" s="301">
        <v>0</v>
      </c>
      <c r="K115" s="302">
        <v>0</v>
      </c>
      <c r="L115" s="302">
        <v>0</v>
      </c>
      <c r="M115" s="301">
        <v>0</v>
      </c>
      <c r="N115" s="302">
        <v>0</v>
      </c>
      <c r="O115" s="301">
        <v>0</v>
      </c>
    </row>
    <row r="116" spans="1:15" x14ac:dyDescent="0.25">
      <c r="A116" s="10" t="s">
        <v>65</v>
      </c>
      <c r="B116" s="191" t="s">
        <v>66</v>
      </c>
      <c r="C116" s="160">
        <v>0</v>
      </c>
      <c r="D116" s="41">
        <v>10000</v>
      </c>
      <c r="E116" s="99">
        <v>0</v>
      </c>
      <c r="F116" s="138">
        <v>0</v>
      </c>
      <c r="G116" s="99">
        <v>0</v>
      </c>
      <c r="H116" s="60">
        <v>20000</v>
      </c>
      <c r="I116" s="157">
        <v>20000</v>
      </c>
      <c r="J116" s="301">
        <v>0</v>
      </c>
      <c r="K116" s="302">
        <v>0</v>
      </c>
      <c r="L116" s="302">
        <v>0</v>
      </c>
      <c r="M116" s="301">
        <v>0</v>
      </c>
      <c r="N116" s="302">
        <v>0</v>
      </c>
      <c r="O116" s="301">
        <v>0</v>
      </c>
    </row>
    <row r="117" spans="1:15" ht="15.75" thickBot="1" x14ac:dyDescent="0.3">
      <c r="A117" s="11" t="s">
        <v>90</v>
      </c>
      <c r="B117" s="192" t="s">
        <v>77</v>
      </c>
      <c r="C117" s="161">
        <v>0</v>
      </c>
      <c r="D117" s="42">
        <v>194000</v>
      </c>
      <c r="E117" s="132">
        <v>0</v>
      </c>
      <c r="F117" s="140">
        <v>0</v>
      </c>
      <c r="G117" s="132">
        <v>0</v>
      </c>
      <c r="H117" s="167">
        <v>110200</v>
      </c>
      <c r="I117" s="158">
        <v>110200</v>
      </c>
      <c r="J117" s="303">
        <v>0</v>
      </c>
      <c r="K117" s="304">
        <v>0</v>
      </c>
      <c r="L117" s="304">
        <v>0</v>
      </c>
      <c r="M117" s="303">
        <v>0</v>
      </c>
      <c r="N117" s="304">
        <v>0</v>
      </c>
      <c r="O117" s="303">
        <v>0</v>
      </c>
    </row>
    <row r="118" spans="1:15" ht="15.75" thickBot="1" x14ac:dyDescent="0.3">
      <c r="A118" s="31" t="s">
        <v>129</v>
      </c>
      <c r="B118" s="194" t="s">
        <v>135</v>
      </c>
      <c r="C118" s="163">
        <f>C119</f>
        <v>2918492.43</v>
      </c>
      <c r="D118" s="93">
        <f t="shared" ref="D118:O119" si="63">D119</f>
        <v>5364250</v>
      </c>
      <c r="E118" s="88">
        <f t="shared" si="63"/>
        <v>979312.5</v>
      </c>
      <c r="F118" s="32">
        <f t="shared" si="63"/>
        <v>4423470</v>
      </c>
      <c r="G118" s="88">
        <f t="shared" si="63"/>
        <v>1206547</v>
      </c>
      <c r="H118" s="32">
        <f t="shared" si="63"/>
        <v>5077500</v>
      </c>
      <c r="I118" s="32">
        <f t="shared" si="63"/>
        <v>5501750</v>
      </c>
      <c r="J118" s="305">
        <f t="shared" si="63"/>
        <v>4930000</v>
      </c>
      <c r="K118" s="306">
        <f t="shared" si="63"/>
        <v>4127500</v>
      </c>
      <c r="L118" s="306">
        <f t="shared" si="63"/>
        <v>4798000</v>
      </c>
      <c r="M118" s="305">
        <f>M119</f>
        <v>4190160</v>
      </c>
      <c r="N118" s="307">
        <f t="shared" si="63"/>
        <v>4376000</v>
      </c>
      <c r="O118" s="308">
        <f t="shared" si="63"/>
        <v>4020000</v>
      </c>
    </row>
    <row r="119" spans="1:15" x14ac:dyDescent="0.25">
      <c r="A119" s="7" t="s">
        <v>130</v>
      </c>
      <c r="B119" s="188" t="s">
        <v>136</v>
      </c>
      <c r="C119" s="156">
        <f>C120</f>
        <v>2918492.43</v>
      </c>
      <c r="D119" s="38">
        <f t="shared" si="63"/>
        <v>5364250</v>
      </c>
      <c r="E119" s="156">
        <f t="shared" si="63"/>
        <v>979312.5</v>
      </c>
      <c r="F119" s="25">
        <f>F120</f>
        <v>4423470</v>
      </c>
      <c r="G119" s="85">
        <f>G120</f>
        <v>1206547</v>
      </c>
      <c r="H119" s="33">
        <f>H120</f>
        <v>5077500</v>
      </c>
      <c r="I119" s="25">
        <f>I120</f>
        <v>5501750</v>
      </c>
      <c r="J119" s="246">
        <f>J120</f>
        <v>4930000</v>
      </c>
      <c r="K119" s="309">
        <f t="shared" si="63"/>
        <v>4127500</v>
      </c>
      <c r="L119" s="310">
        <f t="shared" si="63"/>
        <v>4798000</v>
      </c>
      <c r="M119" s="246">
        <f t="shared" si="63"/>
        <v>4190160</v>
      </c>
      <c r="N119" s="311">
        <f t="shared" si="63"/>
        <v>4376000</v>
      </c>
      <c r="O119" s="246">
        <f t="shared" si="63"/>
        <v>4020000</v>
      </c>
    </row>
    <row r="120" spans="1:15" x14ac:dyDescent="0.25">
      <c r="A120" s="8" t="s">
        <v>5</v>
      </c>
      <c r="B120" s="184" t="s">
        <v>6</v>
      </c>
      <c r="C120" s="129">
        <f>C124+C130</f>
        <v>2918492.43</v>
      </c>
      <c r="D120" s="39">
        <f t="shared" ref="D120:E120" si="64">D124+D130</f>
        <v>5364250</v>
      </c>
      <c r="E120" s="129">
        <f t="shared" si="64"/>
        <v>979312.5</v>
      </c>
      <c r="F120" s="26">
        <f>F121+F129</f>
        <v>4423470</v>
      </c>
      <c r="G120" s="86">
        <f>G121+G129</f>
        <v>1206547</v>
      </c>
      <c r="H120" s="86">
        <f>H121+H129</f>
        <v>5077500</v>
      </c>
      <c r="I120" s="26">
        <f>I124+I129</f>
        <v>5501750</v>
      </c>
      <c r="J120" s="247">
        <f>J121+J129</f>
        <v>4930000</v>
      </c>
      <c r="K120" s="312">
        <f t="shared" ref="K120:L120" si="65">K124+K129</f>
        <v>4127500</v>
      </c>
      <c r="L120" s="313">
        <f t="shared" si="65"/>
        <v>4798000</v>
      </c>
      <c r="M120" s="247">
        <f>M121+M129</f>
        <v>4190160</v>
      </c>
      <c r="N120" s="314">
        <f t="shared" ref="N120" si="66">N124+N129</f>
        <v>4376000</v>
      </c>
      <c r="O120" s="247">
        <f>O121+O129</f>
        <v>4020000</v>
      </c>
    </row>
    <row r="121" spans="1:15" x14ac:dyDescent="0.25">
      <c r="A121" s="52" t="s">
        <v>155</v>
      </c>
      <c r="B121" s="189" t="s">
        <v>164</v>
      </c>
      <c r="C121" s="130"/>
      <c r="D121" s="56"/>
      <c r="E121" s="130"/>
      <c r="F121" s="53">
        <f>F122+F124</f>
        <v>4423470</v>
      </c>
      <c r="G121" s="87">
        <f t="shared" ref="G121" si="67">SUM(G126:G128)</f>
        <v>1206547</v>
      </c>
      <c r="H121" s="87">
        <f>SUM(H126:H128)</f>
        <v>4127500</v>
      </c>
      <c r="I121" s="53">
        <f>I124</f>
        <v>5438000</v>
      </c>
      <c r="J121" s="253">
        <f>J122+J124</f>
        <v>4930000</v>
      </c>
      <c r="K121" s="315">
        <f>K124</f>
        <v>4127500</v>
      </c>
      <c r="L121" s="316">
        <f>L124</f>
        <v>4760500</v>
      </c>
      <c r="M121" s="253">
        <f>M122+M124</f>
        <v>3815160</v>
      </c>
      <c r="N121" s="317">
        <f>N124</f>
        <v>4338500</v>
      </c>
      <c r="O121" s="253">
        <f>O122+O124</f>
        <v>4020000</v>
      </c>
    </row>
    <row r="122" spans="1:15" x14ac:dyDescent="0.25">
      <c r="A122" s="9" t="s">
        <v>33</v>
      </c>
      <c r="B122" s="190" t="s">
        <v>181</v>
      </c>
      <c r="C122" s="130"/>
      <c r="D122" s="56"/>
      <c r="E122" s="130"/>
      <c r="F122" s="215">
        <f>F123</f>
        <v>76000</v>
      </c>
      <c r="G122" s="216">
        <f>G123</f>
        <v>0</v>
      </c>
      <c r="H122" s="216">
        <f>H123</f>
        <v>0</v>
      </c>
      <c r="I122" s="215">
        <f>I123</f>
        <v>0</v>
      </c>
      <c r="J122" s="318">
        <f>SUM(J123:J123)</f>
        <v>100000</v>
      </c>
      <c r="K122" s="319">
        <f t="shared" ref="K122:O122" si="68">K123</f>
        <v>0</v>
      </c>
      <c r="L122" s="320">
        <f t="shared" si="68"/>
        <v>0</v>
      </c>
      <c r="M122" s="318">
        <f>SUM(M123:M123)</f>
        <v>95160</v>
      </c>
      <c r="N122" s="321">
        <f t="shared" si="68"/>
        <v>0</v>
      </c>
      <c r="O122" s="318">
        <f t="shared" si="68"/>
        <v>100000</v>
      </c>
    </row>
    <row r="123" spans="1:15" x14ac:dyDescent="0.25">
      <c r="A123" s="10" t="s">
        <v>39</v>
      </c>
      <c r="B123" s="191" t="s">
        <v>40</v>
      </c>
      <c r="C123" s="101"/>
      <c r="D123" s="69"/>
      <c r="E123" s="101"/>
      <c r="F123" s="214">
        <v>76000</v>
      </c>
      <c r="G123" s="150">
        <v>0</v>
      </c>
      <c r="H123" s="150">
        <v>0</v>
      </c>
      <c r="I123" s="214">
        <v>0</v>
      </c>
      <c r="J123" s="322">
        <v>100000</v>
      </c>
      <c r="K123" s="323">
        <v>0</v>
      </c>
      <c r="L123" s="324">
        <v>0</v>
      </c>
      <c r="M123" s="322">
        <v>95160</v>
      </c>
      <c r="N123" s="325">
        <v>0</v>
      </c>
      <c r="O123" s="322">
        <v>100000</v>
      </c>
    </row>
    <row r="124" spans="1:15" x14ac:dyDescent="0.25">
      <c r="A124" s="9" t="s">
        <v>55</v>
      </c>
      <c r="B124" s="190" t="s">
        <v>56</v>
      </c>
      <c r="C124" s="98">
        <f>SUM(C126:C128)</f>
        <v>2918492.43</v>
      </c>
      <c r="D124" s="40">
        <f t="shared" ref="D124:G124" si="69">SUM(D126:D128)</f>
        <v>5364250</v>
      </c>
      <c r="E124" s="98">
        <f t="shared" si="69"/>
        <v>979312.5</v>
      </c>
      <c r="F124" s="27">
        <f>SUM(F125:F128)</f>
        <v>4347470</v>
      </c>
      <c r="G124" s="83">
        <f t="shared" si="69"/>
        <v>1206547</v>
      </c>
      <c r="H124" s="83">
        <f>SUM(H126:H128)</f>
        <v>4127500</v>
      </c>
      <c r="I124" s="27">
        <f>SUM(I126:I128)</f>
        <v>5438000</v>
      </c>
      <c r="J124" s="257">
        <f>SUM(J125:J128)</f>
        <v>4830000</v>
      </c>
      <c r="K124" s="326">
        <v>4127500</v>
      </c>
      <c r="L124" s="327">
        <f>SUM(L126:L128)</f>
        <v>4760500</v>
      </c>
      <c r="M124" s="257">
        <f>SUM(M125:M128)</f>
        <v>3720000</v>
      </c>
      <c r="N124" s="328">
        <f>SUM(N126:N128)</f>
        <v>4338500</v>
      </c>
      <c r="O124" s="257">
        <f>SUM(O125:O128)</f>
        <v>3920000</v>
      </c>
    </row>
    <row r="125" spans="1:15" x14ac:dyDescent="0.25">
      <c r="A125" s="10">
        <v>3231</v>
      </c>
      <c r="B125" s="191" t="s">
        <v>182</v>
      </c>
      <c r="C125" s="175">
        <v>109500</v>
      </c>
      <c r="D125" s="60">
        <v>217500</v>
      </c>
      <c r="E125" s="99">
        <v>0</v>
      </c>
      <c r="F125" s="29">
        <v>0</v>
      </c>
      <c r="G125" s="84">
        <v>0</v>
      </c>
      <c r="H125" s="84">
        <v>217500</v>
      </c>
      <c r="I125" s="29">
        <v>250000</v>
      </c>
      <c r="J125" s="262">
        <v>250000</v>
      </c>
      <c r="K125" s="329">
        <v>217500</v>
      </c>
      <c r="L125" s="330">
        <v>250000</v>
      </c>
      <c r="M125" s="262">
        <v>200000</v>
      </c>
      <c r="N125" s="331">
        <v>28000</v>
      </c>
      <c r="O125" s="262">
        <v>230000</v>
      </c>
    </row>
    <row r="126" spans="1:15" x14ac:dyDescent="0.25">
      <c r="A126" s="10" t="s">
        <v>59</v>
      </c>
      <c r="B126" s="191" t="s">
        <v>60</v>
      </c>
      <c r="C126" s="175">
        <v>109500</v>
      </c>
      <c r="D126" s="60">
        <v>217500</v>
      </c>
      <c r="E126" s="99">
        <v>0</v>
      </c>
      <c r="F126" s="29">
        <v>237500</v>
      </c>
      <c r="G126" s="84">
        <v>0</v>
      </c>
      <c r="H126" s="84">
        <v>217500</v>
      </c>
      <c r="I126" s="29">
        <v>250000</v>
      </c>
      <c r="J126" s="262">
        <v>30000</v>
      </c>
      <c r="K126" s="329">
        <v>217500</v>
      </c>
      <c r="L126" s="330">
        <v>250000</v>
      </c>
      <c r="M126" s="262">
        <v>30000</v>
      </c>
      <c r="N126" s="331">
        <v>28000</v>
      </c>
      <c r="O126" s="262">
        <v>100000</v>
      </c>
    </row>
    <row r="127" spans="1:15" x14ac:dyDescent="0.25">
      <c r="A127" s="10" t="s">
        <v>69</v>
      </c>
      <c r="B127" s="191" t="s">
        <v>70</v>
      </c>
      <c r="C127" s="175">
        <v>2808992.43</v>
      </c>
      <c r="D127" s="60">
        <v>5136750</v>
      </c>
      <c r="E127" s="99">
        <v>979312.5</v>
      </c>
      <c r="F127" s="29">
        <v>3964620</v>
      </c>
      <c r="G127" s="84">
        <v>1206547</v>
      </c>
      <c r="H127" s="84">
        <v>3900000</v>
      </c>
      <c r="I127" s="29">
        <v>4738000</v>
      </c>
      <c r="J127" s="262">
        <v>4500000</v>
      </c>
      <c r="K127" s="329">
        <v>3900000</v>
      </c>
      <c r="L127" s="330">
        <v>4500500</v>
      </c>
      <c r="M127" s="262">
        <v>3450000</v>
      </c>
      <c r="N127" s="331">
        <v>4300500</v>
      </c>
      <c r="O127" s="262">
        <v>3550000</v>
      </c>
    </row>
    <row r="128" spans="1:15" x14ac:dyDescent="0.25">
      <c r="A128" s="10" t="s">
        <v>71</v>
      </c>
      <c r="B128" s="191" t="s">
        <v>72</v>
      </c>
      <c r="C128" s="175">
        <v>0</v>
      </c>
      <c r="D128" s="60">
        <v>10000</v>
      </c>
      <c r="E128" s="99">
        <v>0</v>
      </c>
      <c r="F128" s="29">
        <v>145350</v>
      </c>
      <c r="G128" s="84">
        <v>0</v>
      </c>
      <c r="H128" s="84">
        <v>10000</v>
      </c>
      <c r="I128" s="29">
        <v>450000</v>
      </c>
      <c r="J128" s="262">
        <v>50000</v>
      </c>
      <c r="K128" s="329">
        <v>10000</v>
      </c>
      <c r="L128" s="330">
        <v>10000</v>
      </c>
      <c r="M128" s="262">
        <v>40000</v>
      </c>
      <c r="N128" s="331">
        <v>10000</v>
      </c>
      <c r="O128" s="262">
        <v>40000</v>
      </c>
    </row>
    <row r="129" spans="1:18" x14ac:dyDescent="0.25">
      <c r="A129" s="52" t="s">
        <v>157</v>
      </c>
      <c r="B129" s="189" t="s">
        <v>167</v>
      </c>
      <c r="C129" s="130"/>
      <c r="D129" s="67"/>
      <c r="E129" s="100"/>
      <c r="F129" s="54">
        <f t="shared" ref="F129:O129" si="70">F130</f>
        <v>0</v>
      </c>
      <c r="G129" s="148">
        <f t="shared" si="70"/>
        <v>0</v>
      </c>
      <c r="H129" s="148">
        <f t="shared" si="70"/>
        <v>950000</v>
      </c>
      <c r="I129" s="54">
        <f t="shared" si="70"/>
        <v>63750</v>
      </c>
      <c r="J129" s="265">
        <f t="shared" si="70"/>
        <v>0</v>
      </c>
      <c r="K129" s="332">
        <f t="shared" si="70"/>
        <v>0</v>
      </c>
      <c r="L129" s="333">
        <f t="shared" si="70"/>
        <v>37500</v>
      </c>
      <c r="M129" s="265">
        <f t="shared" si="70"/>
        <v>375000</v>
      </c>
      <c r="N129" s="334">
        <f t="shared" si="70"/>
        <v>37500</v>
      </c>
      <c r="O129" s="270">
        <f t="shared" si="70"/>
        <v>0</v>
      </c>
    </row>
    <row r="130" spans="1:18" x14ac:dyDescent="0.25">
      <c r="A130" s="9" t="s">
        <v>103</v>
      </c>
      <c r="B130" s="190" t="s">
        <v>104</v>
      </c>
      <c r="C130" s="98">
        <f>SUM(C131)</f>
        <v>0</v>
      </c>
      <c r="D130" s="40">
        <f t="shared" ref="D130:O130" si="71">SUM(D131)</f>
        <v>0</v>
      </c>
      <c r="E130" s="98">
        <f t="shared" si="71"/>
        <v>0</v>
      </c>
      <c r="F130" s="27">
        <f t="shared" si="71"/>
        <v>0</v>
      </c>
      <c r="G130" s="83">
        <f t="shared" si="71"/>
        <v>0</v>
      </c>
      <c r="H130" s="83">
        <f>SUM(H131)</f>
        <v>950000</v>
      </c>
      <c r="I130" s="27">
        <f t="shared" si="71"/>
        <v>63750</v>
      </c>
      <c r="J130" s="256">
        <f>SUM(J131)</f>
        <v>0</v>
      </c>
      <c r="K130" s="326">
        <f t="shared" si="71"/>
        <v>0</v>
      </c>
      <c r="L130" s="327">
        <f t="shared" si="71"/>
        <v>37500</v>
      </c>
      <c r="M130" s="256">
        <f>M131</f>
        <v>375000</v>
      </c>
      <c r="N130" s="328">
        <f t="shared" si="71"/>
        <v>37500</v>
      </c>
      <c r="O130" s="257">
        <f t="shared" si="71"/>
        <v>0</v>
      </c>
    </row>
    <row r="131" spans="1:18" x14ac:dyDescent="0.25">
      <c r="A131" s="13" t="s">
        <v>147</v>
      </c>
      <c r="B131" s="225" t="s">
        <v>137</v>
      </c>
      <c r="C131" s="179">
        <v>0</v>
      </c>
      <c r="D131" s="61">
        <v>0</v>
      </c>
      <c r="E131" s="95">
        <v>0</v>
      </c>
      <c r="F131" s="226">
        <v>0</v>
      </c>
      <c r="G131" s="231">
        <v>0</v>
      </c>
      <c r="H131" s="231">
        <v>950000</v>
      </c>
      <c r="I131" s="226">
        <f>37500+26250</f>
        <v>63750</v>
      </c>
      <c r="J131" s="299"/>
      <c r="K131" s="335">
        <v>0</v>
      </c>
      <c r="L131" s="336">
        <v>37500</v>
      </c>
      <c r="M131" s="299">
        <v>375000</v>
      </c>
      <c r="N131" s="337">
        <v>37500</v>
      </c>
      <c r="O131" s="299"/>
    </row>
    <row r="132" spans="1:18" ht="15.75" thickBot="1" x14ac:dyDescent="0.3">
      <c r="A132" s="31" t="s">
        <v>131</v>
      </c>
      <c r="B132" s="194" t="s">
        <v>138</v>
      </c>
      <c r="C132" s="227">
        <f>C133</f>
        <v>46937128.599999994</v>
      </c>
      <c r="D132" s="228">
        <f t="shared" ref="D132:H132" si="72">D133</f>
        <v>88052464</v>
      </c>
      <c r="E132" s="229">
        <f t="shared" si="72"/>
        <v>14639633.819999998</v>
      </c>
      <c r="F132" s="230">
        <f t="shared" si="72"/>
        <v>84678377</v>
      </c>
      <c r="G132" s="229">
        <f t="shared" si="72"/>
        <v>37577497.860000007</v>
      </c>
      <c r="H132" s="230">
        <f t="shared" si="72"/>
        <v>73833400</v>
      </c>
      <c r="I132" s="230">
        <f>I133</f>
        <v>97770650</v>
      </c>
      <c r="J132" s="340">
        <f>J133</f>
        <v>93947434.180000007</v>
      </c>
      <c r="K132" s="341">
        <f t="shared" ref="K132:O132" si="73">K133</f>
        <v>69369580</v>
      </c>
      <c r="L132" s="341">
        <f t="shared" si="73"/>
        <v>91616745</v>
      </c>
      <c r="M132" s="340">
        <f>M133</f>
        <v>89198568.180000007</v>
      </c>
      <c r="N132" s="342">
        <f t="shared" si="73"/>
        <v>89614800</v>
      </c>
      <c r="O132" s="343">
        <f t="shared" si="73"/>
        <v>95557843.180000007</v>
      </c>
    </row>
    <row r="133" spans="1:18" x14ac:dyDescent="0.25">
      <c r="A133" s="15" t="s">
        <v>132</v>
      </c>
      <c r="B133" s="195" t="s">
        <v>139</v>
      </c>
      <c r="C133" s="90">
        <f>SUM(C134)</f>
        <v>46937128.599999994</v>
      </c>
      <c r="D133" s="64">
        <f>D134+D172</f>
        <v>88052464</v>
      </c>
      <c r="E133" s="90">
        <f>E134+E172</f>
        <v>14639633.819999998</v>
      </c>
      <c r="F133" s="109">
        <f t="shared" ref="F133:O133" si="74">F134+F172</f>
        <v>84678377</v>
      </c>
      <c r="G133" s="145">
        <f t="shared" si="74"/>
        <v>37577497.860000007</v>
      </c>
      <c r="H133" s="145">
        <f t="shared" si="74"/>
        <v>73833400</v>
      </c>
      <c r="I133" s="145">
        <f t="shared" si="74"/>
        <v>97770650</v>
      </c>
      <c r="J133" s="344">
        <f t="shared" si="74"/>
        <v>93947434.180000007</v>
      </c>
      <c r="K133" s="345">
        <f t="shared" si="74"/>
        <v>69369580</v>
      </c>
      <c r="L133" s="345">
        <f t="shared" si="74"/>
        <v>91616745</v>
      </c>
      <c r="M133" s="344">
        <f t="shared" si="74"/>
        <v>89198568.180000007</v>
      </c>
      <c r="N133" s="345">
        <f t="shared" si="74"/>
        <v>89614800</v>
      </c>
      <c r="O133" s="346">
        <f t="shared" si="74"/>
        <v>95557843.180000007</v>
      </c>
    </row>
    <row r="134" spans="1:18" x14ac:dyDescent="0.25">
      <c r="A134" s="8" t="s">
        <v>150</v>
      </c>
      <c r="B134" s="184" t="s">
        <v>151</v>
      </c>
      <c r="C134" s="91">
        <f>C136+C141+C145+C149+C152+C161+C165+C170+C139</f>
        <v>46937128.599999994</v>
      </c>
      <c r="D134" s="65">
        <f t="shared" ref="D134:E134" si="75">D136+D141+D145+D149+D152+D161+D165+D170+D139</f>
        <v>13950604</v>
      </c>
      <c r="E134" s="91">
        <f t="shared" si="75"/>
        <v>2195692.5799999996</v>
      </c>
      <c r="F134" s="208">
        <f t="shared" ref="F134" si="76">F135+F144+F164</f>
        <v>12698034</v>
      </c>
      <c r="G134" s="146">
        <f>G135+G144+G164</f>
        <v>5636624.7800000003</v>
      </c>
      <c r="H134" s="65">
        <f>H135+H144+H164</f>
        <v>11988365</v>
      </c>
      <c r="I134" s="146">
        <f>I136+I141+I145+I149+I152+I161+I165+I170+I139</f>
        <v>14963615</v>
      </c>
      <c r="J134" s="338">
        <f>J135+J144+J164</f>
        <v>14391367.43</v>
      </c>
      <c r="K134" s="339">
        <f>K135+K144+K164</f>
        <v>11333995</v>
      </c>
      <c r="L134" s="339">
        <f t="shared" ref="L134" si="77">L136+L141+L145+L149+L152+L161+L165+L170+L139</f>
        <v>14046510</v>
      </c>
      <c r="M134" s="338">
        <f>M135+M144+M164</f>
        <v>14070553.43</v>
      </c>
      <c r="N134" s="339">
        <f t="shared" ref="N134:O134" si="78">N136+N141+N145+N149+N152+N161+N165+N170+N139</f>
        <v>13746815</v>
      </c>
      <c r="O134" s="338">
        <f t="shared" si="78"/>
        <v>14241477.43</v>
      </c>
    </row>
    <row r="135" spans="1:18" x14ac:dyDescent="0.25">
      <c r="A135" s="52" t="s">
        <v>7</v>
      </c>
      <c r="B135" s="189" t="s">
        <v>165</v>
      </c>
      <c r="C135" s="92"/>
      <c r="D135" s="66"/>
      <c r="E135" s="92"/>
      <c r="F135" s="209">
        <f t="shared" ref="F135:G135" si="79">F136+F139+F141</f>
        <v>5689560</v>
      </c>
      <c r="G135" s="147">
        <f t="shared" si="79"/>
        <v>4213696.12</v>
      </c>
      <c r="H135" s="66">
        <f>H136+H139+H141</f>
        <v>6249000</v>
      </c>
      <c r="I135" s="147">
        <f>I136+I139+I141</f>
        <v>6211725</v>
      </c>
      <c r="J135" s="347">
        <f>J136+J139+J141</f>
        <v>7226430.4299999997</v>
      </c>
      <c r="K135" s="347">
        <v>6159000</v>
      </c>
      <c r="L135" s="347">
        <f t="shared" ref="L135" si="80">L136+L139+L141</f>
        <v>6211725</v>
      </c>
      <c r="M135" s="348">
        <f>M136+M139+M141</f>
        <v>7232430.4299999997</v>
      </c>
      <c r="N135" s="347">
        <f>N136+N139+N141</f>
        <v>6211725</v>
      </c>
      <c r="O135" s="348">
        <f>O136+O139+O141</f>
        <v>7232430.4299999997</v>
      </c>
    </row>
    <row r="136" spans="1:18" x14ac:dyDescent="0.25">
      <c r="A136" s="16" t="s">
        <v>19</v>
      </c>
      <c r="B136" s="196" t="s">
        <v>20</v>
      </c>
      <c r="C136" s="98">
        <f>SUM(C137:C138)</f>
        <v>19445858.819999997</v>
      </c>
      <c r="D136" s="40">
        <f>SUM(D137:D138)</f>
        <v>5265000</v>
      </c>
      <c r="E136" s="98">
        <f t="shared" ref="E136:O136" si="81">SUM(E137:E138)</f>
        <v>1388212.88</v>
      </c>
      <c r="F136" s="27">
        <f t="shared" si="81"/>
        <v>4956272</v>
      </c>
      <c r="G136" s="83">
        <f t="shared" si="81"/>
        <v>3642771.45</v>
      </c>
      <c r="H136" s="40">
        <f t="shared" si="81"/>
        <v>5265000</v>
      </c>
      <c r="I136" s="83">
        <f t="shared" si="81"/>
        <v>5265000</v>
      </c>
      <c r="J136" s="257">
        <f t="shared" si="81"/>
        <v>6141142</v>
      </c>
      <c r="K136" s="349">
        <f t="shared" si="81"/>
        <v>5265000</v>
      </c>
      <c r="L136" s="349">
        <f t="shared" si="81"/>
        <v>5265000</v>
      </c>
      <c r="M136" s="256">
        <f t="shared" si="81"/>
        <v>6141142</v>
      </c>
      <c r="N136" s="256">
        <f t="shared" si="81"/>
        <v>5265000</v>
      </c>
      <c r="O136" s="257">
        <f t="shared" si="81"/>
        <v>6141142</v>
      </c>
      <c r="R136" s="203"/>
    </row>
    <row r="137" spans="1:18" x14ac:dyDescent="0.25">
      <c r="A137" s="17" t="s">
        <v>21</v>
      </c>
      <c r="B137" s="196" t="s">
        <v>22</v>
      </c>
      <c r="C137" s="175">
        <v>19057303.079999998</v>
      </c>
      <c r="D137" s="60">
        <v>5205000</v>
      </c>
      <c r="E137" s="99">
        <v>1360597.45</v>
      </c>
      <c r="F137" s="138">
        <v>4899960</v>
      </c>
      <c r="G137" s="99">
        <v>3624342.95</v>
      </c>
      <c r="H137" s="60">
        <v>5205000</v>
      </c>
      <c r="I137" s="84">
        <v>5205000</v>
      </c>
      <c r="J137" s="262">
        <v>6084830</v>
      </c>
      <c r="K137" s="261">
        <v>5205000</v>
      </c>
      <c r="L137" s="261">
        <v>5205000</v>
      </c>
      <c r="M137" s="350">
        <v>6084830</v>
      </c>
      <c r="N137" s="269">
        <v>5205000</v>
      </c>
      <c r="O137" s="262">
        <v>6084830</v>
      </c>
    </row>
    <row r="138" spans="1:18" x14ac:dyDescent="0.25">
      <c r="A138" s="17" t="s">
        <v>23</v>
      </c>
      <c r="B138" s="196" t="s">
        <v>24</v>
      </c>
      <c r="C138" s="175">
        <v>388555.74</v>
      </c>
      <c r="D138" s="60">
        <v>60000</v>
      </c>
      <c r="E138" s="99">
        <v>27615.43</v>
      </c>
      <c r="F138" s="138">
        <v>56312</v>
      </c>
      <c r="G138" s="99">
        <v>18428.5</v>
      </c>
      <c r="H138" s="60">
        <v>60000</v>
      </c>
      <c r="I138" s="84">
        <v>60000</v>
      </c>
      <c r="J138" s="262">
        <v>56312</v>
      </c>
      <c r="K138" s="261">
        <v>60000</v>
      </c>
      <c r="L138" s="261">
        <v>60000</v>
      </c>
      <c r="M138" s="350">
        <v>56312</v>
      </c>
      <c r="N138" s="269">
        <v>60000</v>
      </c>
      <c r="O138" s="262">
        <v>56312</v>
      </c>
    </row>
    <row r="139" spans="1:18" x14ac:dyDescent="0.25">
      <c r="A139" s="16" t="s">
        <v>25</v>
      </c>
      <c r="B139" s="196" t="s">
        <v>26</v>
      </c>
      <c r="C139" s="98">
        <f>SUM(C140)</f>
        <v>420000</v>
      </c>
      <c r="D139" s="40">
        <f t="shared" ref="D139:O139" si="82">SUM(D140)</f>
        <v>78000</v>
      </c>
      <c r="E139" s="98">
        <f t="shared" si="82"/>
        <v>375</v>
      </c>
      <c r="F139" s="27">
        <f t="shared" si="82"/>
        <v>57225</v>
      </c>
      <c r="G139" s="83">
        <f t="shared" si="82"/>
        <v>56475</v>
      </c>
      <c r="H139" s="40">
        <f>SUM(H140)</f>
        <v>78000</v>
      </c>
      <c r="I139" s="83">
        <f t="shared" si="82"/>
        <v>78000</v>
      </c>
      <c r="J139" s="256">
        <f>SUM(J140)</f>
        <v>72000</v>
      </c>
      <c r="K139" s="349">
        <f t="shared" si="82"/>
        <v>78000</v>
      </c>
      <c r="L139" s="349">
        <f t="shared" si="82"/>
        <v>78000</v>
      </c>
      <c r="M139" s="256">
        <f>SUM(M140)</f>
        <v>78000</v>
      </c>
      <c r="N139" s="256">
        <f t="shared" si="82"/>
        <v>78000</v>
      </c>
      <c r="O139" s="257">
        <f t="shared" si="82"/>
        <v>78000</v>
      </c>
    </row>
    <row r="140" spans="1:18" x14ac:dyDescent="0.25">
      <c r="A140" s="17" t="s">
        <v>27</v>
      </c>
      <c r="B140" s="196" t="s">
        <v>26</v>
      </c>
      <c r="C140" s="175">
        <f>195000+225000</f>
        <v>420000</v>
      </c>
      <c r="D140" s="60">
        <v>78000</v>
      </c>
      <c r="E140" s="99">
        <v>375</v>
      </c>
      <c r="F140" s="138">
        <v>57225</v>
      </c>
      <c r="G140" s="99">
        <v>56475</v>
      </c>
      <c r="H140" s="60">
        <v>78000</v>
      </c>
      <c r="I140" s="84">
        <v>78000</v>
      </c>
      <c r="J140" s="262">
        <v>72000</v>
      </c>
      <c r="K140" s="261">
        <v>78000</v>
      </c>
      <c r="L140" s="261">
        <v>78000</v>
      </c>
      <c r="M140" s="350">
        <v>78000</v>
      </c>
      <c r="N140" s="269">
        <v>78000</v>
      </c>
      <c r="O140" s="262">
        <v>78000</v>
      </c>
    </row>
    <row r="141" spans="1:18" x14ac:dyDescent="0.25">
      <c r="A141" s="16" t="s">
        <v>28</v>
      </c>
      <c r="B141" s="196" t="s">
        <v>29</v>
      </c>
      <c r="C141" s="98">
        <f t="shared" ref="C141:G141" si="83">SUM(C142:C143)</f>
        <v>2768999.24</v>
      </c>
      <c r="D141" s="40">
        <f>SUM(D142:D143)</f>
        <v>906000</v>
      </c>
      <c r="E141" s="98">
        <f t="shared" si="83"/>
        <v>196805.74</v>
      </c>
      <c r="F141" s="27">
        <f t="shared" si="83"/>
        <v>676063</v>
      </c>
      <c r="G141" s="83">
        <f t="shared" si="83"/>
        <v>514449.67</v>
      </c>
      <c r="H141" s="40">
        <f t="shared" ref="H141:O141" si="84">SUM(H142:H143)</f>
        <v>906000</v>
      </c>
      <c r="I141" s="83">
        <f t="shared" si="84"/>
        <v>868725</v>
      </c>
      <c r="J141" s="256">
        <f t="shared" si="84"/>
        <v>1013288.43</v>
      </c>
      <c r="K141" s="349">
        <f t="shared" si="84"/>
        <v>816000</v>
      </c>
      <c r="L141" s="349">
        <f t="shared" si="84"/>
        <v>868725</v>
      </c>
      <c r="M141" s="256">
        <f t="shared" si="84"/>
        <v>1013288.43</v>
      </c>
      <c r="N141" s="256">
        <f t="shared" si="84"/>
        <v>868725</v>
      </c>
      <c r="O141" s="257">
        <f t="shared" si="84"/>
        <v>1013288.43</v>
      </c>
    </row>
    <row r="142" spans="1:18" x14ac:dyDescent="0.25">
      <c r="A142" s="17" t="s">
        <v>30</v>
      </c>
      <c r="B142" s="196" t="s">
        <v>31</v>
      </c>
      <c r="C142" s="175">
        <v>2495252.52</v>
      </c>
      <c r="D142" s="60">
        <v>816000</v>
      </c>
      <c r="E142" s="99">
        <f>151589.68+41314.69</f>
        <v>192904.37</v>
      </c>
      <c r="F142" s="138">
        <v>676063</v>
      </c>
      <c r="G142" s="99">
        <v>514449.67</v>
      </c>
      <c r="H142" s="60">
        <v>816000</v>
      </c>
      <c r="I142" s="84">
        <f>I136*16.5/100</f>
        <v>868725</v>
      </c>
      <c r="J142" s="262">
        <f>J136*16.5/100</f>
        <v>1013288.43</v>
      </c>
      <c r="K142" s="261">
        <v>816000</v>
      </c>
      <c r="L142" s="261">
        <f>L136*16.5/100</f>
        <v>868725</v>
      </c>
      <c r="M142" s="350">
        <f>M136*16.5/100</f>
        <v>1013288.43</v>
      </c>
      <c r="N142" s="269">
        <f>N136*16.5/100</f>
        <v>868725</v>
      </c>
      <c r="O142" s="262">
        <f>O136*16.5/100</f>
        <v>1013288.43</v>
      </c>
    </row>
    <row r="143" spans="1:18" x14ac:dyDescent="0.25">
      <c r="A143" s="17" t="s">
        <v>32</v>
      </c>
      <c r="B143" s="196" t="s">
        <v>140</v>
      </c>
      <c r="C143" s="175">
        <v>273746.71999999997</v>
      </c>
      <c r="D143" s="60">
        <v>90000</v>
      </c>
      <c r="E143" s="99">
        <v>3901.37</v>
      </c>
      <c r="F143" s="138">
        <v>0</v>
      </c>
      <c r="G143" s="99">
        <v>0</v>
      </c>
      <c r="H143" s="60">
        <v>90000</v>
      </c>
      <c r="I143" s="84">
        <v>0</v>
      </c>
      <c r="J143" s="262">
        <v>0</v>
      </c>
      <c r="K143" s="261">
        <v>0</v>
      </c>
      <c r="L143" s="261">
        <v>0</v>
      </c>
      <c r="M143" s="350">
        <v>0</v>
      </c>
      <c r="N143" s="261">
        <v>0</v>
      </c>
      <c r="O143" s="262">
        <v>0</v>
      </c>
    </row>
    <row r="144" spans="1:18" x14ac:dyDescent="0.25">
      <c r="A144" s="52" t="s">
        <v>155</v>
      </c>
      <c r="B144" s="189" t="s">
        <v>164</v>
      </c>
      <c r="C144" s="130"/>
      <c r="D144" s="67"/>
      <c r="E144" s="100"/>
      <c r="F144" s="54">
        <f>F145+F149+F152+F161</f>
        <v>5865068</v>
      </c>
      <c r="G144" s="148">
        <f>G145+G149+G152+G161</f>
        <v>1376997.32</v>
      </c>
      <c r="H144" s="67">
        <f>H145+H149+H152+H161</f>
        <v>5445050</v>
      </c>
      <c r="I144" s="148">
        <f>I145+I149+I152+I161</f>
        <v>7692000</v>
      </c>
      <c r="J144" s="270">
        <f>J145+J149+J152+J161</f>
        <v>4937750</v>
      </c>
      <c r="K144" s="265">
        <v>4995050</v>
      </c>
      <c r="L144" s="265">
        <f t="shared" ref="L144" si="85">L145+L149+L152+L161</f>
        <v>7581145</v>
      </c>
      <c r="M144" s="270">
        <f>M145+M149+M152+M161</f>
        <v>6173436</v>
      </c>
      <c r="N144" s="265">
        <f>N145+N149+N152+N161</f>
        <v>6801450</v>
      </c>
      <c r="O144" s="270">
        <f>O145+O149+O152+O161</f>
        <v>6256130</v>
      </c>
    </row>
    <row r="145" spans="1:18" x14ac:dyDescent="0.25">
      <c r="A145" s="16" t="s">
        <v>33</v>
      </c>
      <c r="B145" s="196" t="s">
        <v>34</v>
      </c>
      <c r="C145" s="98">
        <f t="shared" ref="C145:G145" si="86">SUM(C146:C148)</f>
        <v>1090599.9099999999</v>
      </c>
      <c r="D145" s="40">
        <f>SUM(D146:D148)</f>
        <v>283500</v>
      </c>
      <c r="E145" s="98">
        <f t="shared" si="86"/>
        <v>97220.160000000003</v>
      </c>
      <c r="F145" s="27">
        <f t="shared" si="86"/>
        <v>300000</v>
      </c>
      <c r="G145" s="83">
        <f t="shared" si="86"/>
        <v>127453.51999999999</v>
      </c>
      <c r="H145" s="40">
        <f t="shared" ref="H145:O145" si="87">SUM(H146:H148)</f>
        <v>283500</v>
      </c>
      <c r="I145" s="83">
        <f t="shared" si="87"/>
        <v>478500</v>
      </c>
      <c r="J145" s="256">
        <f t="shared" si="87"/>
        <v>411000</v>
      </c>
      <c r="K145" s="349">
        <f t="shared" si="87"/>
        <v>283500</v>
      </c>
      <c r="L145" s="349">
        <f t="shared" si="87"/>
        <v>457145</v>
      </c>
      <c r="M145" s="256">
        <f t="shared" si="87"/>
        <v>381000</v>
      </c>
      <c r="N145" s="256">
        <f t="shared" si="87"/>
        <v>458700</v>
      </c>
      <c r="O145" s="257">
        <f t="shared" si="87"/>
        <v>381000</v>
      </c>
    </row>
    <row r="146" spans="1:18" x14ac:dyDescent="0.25">
      <c r="A146" s="17" t="s">
        <v>35</v>
      </c>
      <c r="B146" s="196" t="s">
        <v>36</v>
      </c>
      <c r="C146" s="175">
        <v>473145.16</v>
      </c>
      <c r="D146" s="60">
        <v>105000</v>
      </c>
      <c r="E146" s="99">
        <v>14576.8</v>
      </c>
      <c r="F146" s="138">
        <v>75000</v>
      </c>
      <c r="G146" s="99">
        <v>14719.46</v>
      </c>
      <c r="H146" s="60">
        <v>105000</v>
      </c>
      <c r="I146" s="84">
        <v>150000</v>
      </c>
      <c r="J146" s="262">
        <v>135000</v>
      </c>
      <c r="K146" s="261">
        <v>105000</v>
      </c>
      <c r="L146" s="261">
        <v>150000</v>
      </c>
      <c r="M146" s="350">
        <v>135000</v>
      </c>
      <c r="N146" s="269">
        <v>150000</v>
      </c>
      <c r="O146" s="262">
        <v>135000</v>
      </c>
      <c r="R146" s="203"/>
    </row>
    <row r="147" spans="1:18" x14ac:dyDescent="0.25">
      <c r="A147" s="17" t="s">
        <v>37</v>
      </c>
      <c r="B147" s="196" t="s">
        <v>38</v>
      </c>
      <c r="C147" s="175">
        <v>395630.01</v>
      </c>
      <c r="D147" s="60">
        <v>126000</v>
      </c>
      <c r="E147" s="99">
        <v>58393.55</v>
      </c>
      <c r="F147" s="138">
        <v>135000</v>
      </c>
      <c r="G147" s="99">
        <v>107779.15</v>
      </c>
      <c r="H147" s="60">
        <v>126000</v>
      </c>
      <c r="I147" s="84">
        <v>126000</v>
      </c>
      <c r="J147" s="262">
        <v>156000</v>
      </c>
      <c r="K147" s="261">
        <v>126000</v>
      </c>
      <c r="L147" s="261">
        <v>126000</v>
      </c>
      <c r="M147" s="350">
        <v>126000</v>
      </c>
      <c r="N147" s="269">
        <v>126000</v>
      </c>
      <c r="O147" s="262">
        <v>126000</v>
      </c>
      <c r="R147" s="203"/>
    </row>
    <row r="148" spans="1:18" x14ac:dyDescent="0.25">
      <c r="A148" s="17" t="s">
        <v>39</v>
      </c>
      <c r="B148" s="196" t="s">
        <v>40</v>
      </c>
      <c r="C148" s="175">
        <v>221824.74</v>
      </c>
      <c r="D148" s="60">
        <v>52500</v>
      </c>
      <c r="E148" s="99">
        <v>24249.81</v>
      </c>
      <c r="F148" s="138">
        <v>90000</v>
      </c>
      <c r="G148" s="99">
        <v>4954.91</v>
      </c>
      <c r="H148" s="60">
        <v>52500</v>
      </c>
      <c r="I148" s="84">
        <v>202500</v>
      </c>
      <c r="J148" s="262">
        <v>120000</v>
      </c>
      <c r="K148" s="261">
        <v>52500</v>
      </c>
      <c r="L148" s="261">
        <v>181145</v>
      </c>
      <c r="M148" s="350">
        <v>120000</v>
      </c>
      <c r="N148" s="269">
        <v>182700</v>
      </c>
      <c r="O148" s="262">
        <v>120000</v>
      </c>
      <c r="R148" s="203"/>
    </row>
    <row r="149" spans="1:18" x14ac:dyDescent="0.25">
      <c r="A149" s="16" t="s">
        <v>43</v>
      </c>
      <c r="B149" s="196" t="s">
        <v>44</v>
      </c>
      <c r="C149" s="98">
        <f>SUM(C150:C151)</f>
        <v>1231505.3</v>
      </c>
      <c r="D149" s="40">
        <f>SUM(D150:D151)</f>
        <v>412500</v>
      </c>
      <c r="E149" s="98">
        <f t="shared" ref="E149:O149" si="88">SUM(E150:E151)</f>
        <v>76504.36</v>
      </c>
      <c r="F149" s="27">
        <f t="shared" si="88"/>
        <v>495000</v>
      </c>
      <c r="G149" s="83">
        <f t="shared" si="88"/>
        <v>360410.17000000004</v>
      </c>
      <c r="H149" s="40">
        <f t="shared" si="88"/>
        <v>412500</v>
      </c>
      <c r="I149" s="83">
        <f t="shared" si="88"/>
        <v>412500</v>
      </c>
      <c r="J149" s="257">
        <f t="shared" si="88"/>
        <v>532500</v>
      </c>
      <c r="K149" s="349">
        <f t="shared" si="88"/>
        <v>412500</v>
      </c>
      <c r="L149" s="349">
        <f t="shared" si="88"/>
        <v>412500</v>
      </c>
      <c r="M149" s="256">
        <f t="shared" si="88"/>
        <v>491380</v>
      </c>
      <c r="N149" s="256">
        <f t="shared" si="88"/>
        <v>412500</v>
      </c>
      <c r="O149" s="257">
        <f t="shared" si="88"/>
        <v>491380</v>
      </c>
    </row>
    <row r="150" spans="1:18" x14ac:dyDescent="0.25">
      <c r="A150" s="17" t="s">
        <v>45</v>
      </c>
      <c r="B150" s="196" t="s">
        <v>46</v>
      </c>
      <c r="C150" s="175">
        <v>843399.06</v>
      </c>
      <c r="D150" s="60">
        <v>255000</v>
      </c>
      <c r="E150" s="99">
        <v>51004.36</v>
      </c>
      <c r="F150" s="138">
        <v>270000</v>
      </c>
      <c r="G150" s="99">
        <v>284541.28000000003</v>
      </c>
      <c r="H150" s="60">
        <v>255000</v>
      </c>
      <c r="I150" s="149">
        <v>255000</v>
      </c>
      <c r="J150" s="262">
        <v>300000</v>
      </c>
      <c r="K150" s="261">
        <v>255000</v>
      </c>
      <c r="L150" s="261">
        <v>255000</v>
      </c>
      <c r="M150" s="350">
        <v>245000</v>
      </c>
      <c r="N150" s="261">
        <v>255000</v>
      </c>
      <c r="O150" s="262">
        <v>245000</v>
      </c>
    </row>
    <row r="151" spans="1:18" x14ac:dyDescent="0.25">
      <c r="A151" s="17" t="s">
        <v>47</v>
      </c>
      <c r="B151" s="196" t="s">
        <v>48</v>
      </c>
      <c r="C151" s="160">
        <v>388106.23999999999</v>
      </c>
      <c r="D151" s="84">
        <v>157500</v>
      </c>
      <c r="E151" s="99">
        <v>25500</v>
      </c>
      <c r="F151" s="138">
        <v>225000</v>
      </c>
      <c r="G151" s="99">
        <v>75868.89</v>
      </c>
      <c r="H151" s="60">
        <v>157500</v>
      </c>
      <c r="I151" s="149">
        <v>157500</v>
      </c>
      <c r="J151" s="262">
        <v>232500</v>
      </c>
      <c r="K151" s="261">
        <v>157500</v>
      </c>
      <c r="L151" s="261">
        <v>157500</v>
      </c>
      <c r="M151" s="350">
        <v>246380</v>
      </c>
      <c r="N151" s="261">
        <v>157500</v>
      </c>
      <c r="O151" s="262">
        <v>246380</v>
      </c>
      <c r="R151" s="203"/>
    </row>
    <row r="152" spans="1:18" x14ac:dyDescent="0.25">
      <c r="A152" s="16" t="s">
        <v>55</v>
      </c>
      <c r="B152" s="196" t="s">
        <v>56</v>
      </c>
      <c r="C152" s="83">
        <f>SUM(C153:C160)</f>
        <v>14632682.41</v>
      </c>
      <c r="D152" s="83">
        <f>SUM(D153:D160)</f>
        <v>6044504</v>
      </c>
      <c r="E152" s="98">
        <f t="shared" ref="E152:O152" si="89">SUM(E153:E160)</f>
        <v>223129.96000000002</v>
      </c>
      <c r="F152" s="27">
        <f>SUM(F153:F160)</f>
        <v>5055068</v>
      </c>
      <c r="G152" s="83">
        <f>SUM(G153:G160)</f>
        <v>881238.06</v>
      </c>
      <c r="H152" s="40">
        <f t="shared" si="89"/>
        <v>4734050</v>
      </c>
      <c r="I152" s="83">
        <f t="shared" si="89"/>
        <v>6778500</v>
      </c>
      <c r="J152" s="257">
        <f t="shared" si="89"/>
        <v>3971750</v>
      </c>
      <c r="K152" s="349">
        <f t="shared" si="89"/>
        <v>4284050</v>
      </c>
      <c r="L152" s="349">
        <f t="shared" si="89"/>
        <v>6689000</v>
      </c>
      <c r="M152" s="256">
        <f t="shared" si="89"/>
        <v>5278556</v>
      </c>
      <c r="N152" s="256">
        <f t="shared" si="89"/>
        <v>5907750</v>
      </c>
      <c r="O152" s="257">
        <f t="shared" si="89"/>
        <v>5361250</v>
      </c>
      <c r="R152" s="203"/>
    </row>
    <row r="153" spans="1:18" x14ac:dyDescent="0.25">
      <c r="A153" s="17" t="s">
        <v>57</v>
      </c>
      <c r="B153" s="196" t="s">
        <v>58</v>
      </c>
      <c r="C153" s="160">
        <v>600381.51</v>
      </c>
      <c r="D153" s="84">
        <v>105000</v>
      </c>
      <c r="E153" s="99">
        <v>24750</v>
      </c>
      <c r="F153" s="138">
        <v>150000</v>
      </c>
      <c r="G153" s="99">
        <v>135183.96</v>
      </c>
      <c r="H153" s="60">
        <v>105000</v>
      </c>
      <c r="I153" s="149">
        <v>105000</v>
      </c>
      <c r="J153" s="262">
        <v>176250</v>
      </c>
      <c r="K153" s="261">
        <v>105000</v>
      </c>
      <c r="L153" s="261">
        <v>105000</v>
      </c>
      <c r="M153" s="350">
        <v>176250</v>
      </c>
      <c r="N153" s="261">
        <v>105000</v>
      </c>
      <c r="O153" s="262">
        <v>176250</v>
      </c>
      <c r="R153" s="203"/>
    </row>
    <row r="154" spans="1:18" x14ac:dyDescent="0.25">
      <c r="A154" s="17" t="s">
        <v>59</v>
      </c>
      <c r="B154" s="196" t="s">
        <v>60</v>
      </c>
      <c r="C154" s="160">
        <v>2494350.0099999998</v>
      </c>
      <c r="D154" s="84">
        <v>770950</v>
      </c>
      <c r="E154" s="99">
        <v>7500</v>
      </c>
      <c r="F154" s="138">
        <v>771270</v>
      </c>
      <c r="G154" s="99">
        <v>6597.36</v>
      </c>
      <c r="H154" s="60">
        <v>372050</v>
      </c>
      <c r="I154" s="84">
        <f>695000+100000</f>
        <v>795000</v>
      </c>
      <c r="J154" s="262">
        <v>450000</v>
      </c>
      <c r="K154" s="261">
        <v>372050</v>
      </c>
      <c r="L154" s="261">
        <f>750500+100000</f>
        <v>850500</v>
      </c>
      <c r="M154" s="350">
        <v>600000</v>
      </c>
      <c r="N154" s="269">
        <f>760000+100000</f>
        <v>860000</v>
      </c>
      <c r="O154" s="262">
        <v>600000</v>
      </c>
    </row>
    <row r="155" spans="1:18" x14ac:dyDescent="0.25">
      <c r="A155" s="17" t="s">
        <v>61</v>
      </c>
      <c r="B155" s="196" t="s">
        <v>62</v>
      </c>
      <c r="C155" s="160">
        <v>368204.13</v>
      </c>
      <c r="D155" s="84">
        <v>75000</v>
      </c>
      <c r="E155" s="99">
        <v>9490.2999999999993</v>
      </c>
      <c r="F155" s="138">
        <v>30000</v>
      </c>
      <c r="G155" s="99">
        <v>10072.83</v>
      </c>
      <c r="H155" s="60">
        <v>75000</v>
      </c>
      <c r="I155" s="84">
        <v>75000</v>
      </c>
      <c r="J155" s="262">
        <v>30000</v>
      </c>
      <c r="K155" s="261">
        <v>75000</v>
      </c>
      <c r="L155" s="261">
        <v>75000</v>
      </c>
      <c r="M155" s="350">
        <v>30000</v>
      </c>
      <c r="N155" s="269">
        <v>75000</v>
      </c>
      <c r="O155" s="262">
        <v>30000</v>
      </c>
    </row>
    <row r="156" spans="1:18" x14ac:dyDescent="0.25">
      <c r="A156" s="17" t="s">
        <v>63</v>
      </c>
      <c r="B156" s="196" t="s">
        <v>64</v>
      </c>
      <c r="C156" s="160">
        <v>400000</v>
      </c>
      <c r="D156" s="84">
        <v>22500</v>
      </c>
      <c r="E156" s="99"/>
      <c r="F156" s="138">
        <v>135000</v>
      </c>
      <c r="G156" s="99">
        <v>30000</v>
      </c>
      <c r="H156" s="60">
        <v>22500</v>
      </c>
      <c r="I156" s="149">
        <v>22500</v>
      </c>
      <c r="J156" s="262">
        <v>135000</v>
      </c>
      <c r="K156" s="261">
        <v>22500</v>
      </c>
      <c r="L156" s="261">
        <v>22500</v>
      </c>
      <c r="M156" s="350">
        <v>130000</v>
      </c>
      <c r="N156" s="261">
        <v>22500</v>
      </c>
      <c r="O156" s="262">
        <v>135000</v>
      </c>
    </row>
    <row r="157" spans="1:18" x14ac:dyDescent="0.25">
      <c r="A157" s="17" t="s">
        <v>65</v>
      </c>
      <c r="B157" s="196" t="s">
        <v>66</v>
      </c>
      <c r="C157" s="160">
        <v>2049086.52</v>
      </c>
      <c r="D157" s="84">
        <v>480000</v>
      </c>
      <c r="E157" s="99">
        <v>84958.86</v>
      </c>
      <c r="F157" s="138">
        <v>900000</v>
      </c>
      <c r="G157" s="99">
        <v>341638.58</v>
      </c>
      <c r="H157" s="60">
        <v>480000</v>
      </c>
      <c r="I157" s="149">
        <v>487000</v>
      </c>
      <c r="J157" s="262">
        <v>787000</v>
      </c>
      <c r="K157" s="261">
        <v>480000</v>
      </c>
      <c r="L157" s="261">
        <v>487000</v>
      </c>
      <c r="M157" s="350">
        <f>787000</f>
        <v>787000</v>
      </c>
      <c r="N157" s="261">
        <v>487000</v>
      </c>
      <c r="O157" s="262">
        <v>787000</v>
      </c>
      <c r="R157" s="203"/>
    </row>
    <row r="158" spans="1:18" x14ac:dyDescent="0.25">
      <c r="A158" s="17" t="s">
        <v>69</v>
      </c>
      <c r="B158" s="196" t="s">
        <v>70</v>
      </c>
      <c r="C158" s="175">
        <v>1210507.45</v>
      </c>
      <c r="D158" s="60">
        <v>327000</v>
      </c>
      <c r="E158" s="99">
        <v>79930.8</v>
      </c>
      <c r="F158" s="138">
        <v>405000</v>
      </c>
      <c r="G158" s="99">
        <v>182883.54</v>
      </c>
      <c r="H158" s="60">
        <v>327000</v>
      </c>
      <c r="I158" s="84">
        <v>327000</v>
      </c>
      <c r="J158" s="262">
        <f>382500+105000</f>
        <v>487500</v>
      </c>
      <c r="K158" s="261">
        <v>327000</v>
      </c>
      <c r="L158" s="261">
        <v>327000</v>
      </c>
      <c r="M158" s="350">
        <v>510000</v>
      </c>
      <c r="N158" s="269">
        <v>327000</v>
      </c>
      <c r="O158" s="262">
        <v>477000</v>
      </c>
    </row>
    <row r="159" spans="1:18" x14ac:dyDescent="0.25">
      <c r="A159" s="17" t="s">
        <v>114</v>
      </c>
      <c r="B159" s="196" t="s">
        <v>115</v>
      </c>
      <c r="C159" s="175">
        <v>7172482.8300000001</v>
      </c>
      <c r="D159" s="60">
        <v>4211554</v>
      </c>
      <c r="E159" s="99">
        <v>0</v>
      </c>
      <c r="F159" s="138">
        <v>2513798</v>
      </c>
      <c r="G159" s="99">
        <v>22153.360000000001</v>
      </c>
      <c r="H159" s="60">
        <v>3300000</v>
      </c>
      <c r="I159" s="84">
        <v>4847000</v>
      </c>
      <c r="J159" s="262">
        <v>1711000</v>
      </c>
      <c r="K159" s="261">
        <v>2850000</v>
      </c>
      <c r="L159" s="261">
        <f>4702000</f>
        <v>4702000</v>
      </c>
      <c r="M159" s="350">
        <v>2850306</v>
      </c>
      <c r="N159" s="269">
        <f>3911250</f>
        <v>3911250</v>
      </c>
      <c r="O159" s="262">
        <v>2961000</v>
      </c>
    </row>
    <row r="160" spans="1:18" x14ac:dyDescent="0.25">
      <c r="A160" s="17" t="s">
        <v>71</v>
      </c>
      <c r="B160" s="196" t="s">
        <v>72</v>
      </c>
      <c r="C160" s="175">
        <v>337669.96</v>
      </c>
      <c r="D160" s="60">
        <v>52500</v>
      </c>
      <c r="E160" s="99">
        <v>16500</v>
      </c>
      <c r="F160" s="138">
        <v>150000</v>
      </c>
      <c r="G160" s="99">
        <v>152708.43</v>
      </c>
      <c r="H160" s="60">
        <v>52500</v>
      </c>
      <c r="I160" s="149">
        <v>120000</v>
      </c>
      <c r="J160" s="262">
        <v>195000</v>
      </c>
      <c r="K160" s="261">
        <v>52500</v>
      </c>
      <c r="L160" s="261">
        <v>120000</v>
      </c>
      <c r="M160" s="350">
        <v>195000</v>
      </c>
      <c r="N160" s="261">
        <v>120000</v>
      </c>
      <c r="O160" s="262">
        <v>195000</v>
      </c>
    </row>
    <row r="161" spans="1:59" x14ac:dyDescent="0.25">
      <c r="A161" s="16" t="s">
        <v>76</v>
      </c>
      <c r="B161" s="196" t="s">
        <v>77</v>
      </c>
      <c r="C161" s="98">
        <f>SUM(C163)</f>
        <v>7589.94</v>
      </c>
      <c r="D161" s="40">
        <f t="shared" ref="D161:E161" si="90">SUM(D163)</f>
        <v>15000</v>
      </c>
      <c r="E161" s="98">
        <f t="shared" si="90"/>
        <v>342.7</v>
      </c>
      <c r="F161" s="27">
        <f t="shared" ref="F161:G161" si="91">SUM(F162:F163)</f>
        <v>15000</v>
      </c>
      <c r="G161" s="83">
        <f t="shared" si="91"/>
        <v>7895.57</v>
      </c>
      <c r="H161" s="40">
        <f t="shared" ref="H161:O161" si="92">SUM(H162:H163)</f>
        <v>15000</v>
      </c>
      <c r="I161" s="83">
        <f t="shared" si="92"/>
        <v>22500</v>
      </c>
      <c r="J161" s="256">
        <f t="shared" si="92"/>
        <v>22500</v>
      </c>
      <c r="K161" s="256">
        <f t="shared" si="92"/>
        <v>22500</v>
      </c>
      <c r="L161" s="256">
        <f t="shared" si="92"/>
        <v>22500</v>
      </c>
      <c r="M161" s="256">
        <f t="shared" si="92"/>
        <v>22500</v>
      </c>
      <c r="N161" s="256">
        <f t="shared" si="92"/>
        <v>22500</v>
      </c>
      <c r="O161" s="257">
        <f t="shared" si="92"/>
        <v>22500</v>
      </c>
    </row>
    <row r="162" spans="1:59" x14ac:dyDescent="0.25">
      <c r="A162" s="18" t="s">
        <v>82</v>
      </c>
      <c r="B162" s="197" t="s">
        <v>81</v>
      </c>
      <c r="C162" s="178"/>
      <c r="D162" s="69"/>
      <c r="E162" s="101"/>
      <c r="F162" s="151">
        <v>7500</v>
      </c>
      <c r="G162" s="101">
        <v>7542.57</v>
      </c>
      <c r="H162" s="69"/>
      <c r="I162" s="150">
        <v>7500</v>
      </c>
      <c r="J162" s="322">
        <v>7500</v>
      </c>
      <c r="K162" s="351">
        <v>7500</v>
      </c>
      <c r="L162" s="351">
        <v>7500</v>
      </c>
      <c r="M162" s="352">
        <v>7500</v>
      </c>
      <c r="N162" s="353">
        <v>7500</v>
      </c>
      <c r="O162" s="322">
        <v>7500</v>
      </c>
    </row>
    <row r="163" spans="1:59" x14ac:dyDescent="0.25">
      <c r="A163" s="18" t="s">
        <v>82</v>
      </c>
      <c r="B163" s="197" t="s">
        <v>83</v>
      </c>
      <c r="C163" s="179">
        <v>7589.94</v>
      </c>
      <c r="D163" s="60">
        <v>15000</v>
      </c>
      <c r="E163" s="99">
        <v>342.7</v>
      </c>
      <c r="F163" s="138">
        <v>7500</v>
      </c>
      <c r="G163" s="99">
        <v>353</v>
      </c>
      <c r="H163" s="60">
        <v>15000</v>
      </c>
      <c r="I163" s="84">
        <v>15000</v>
      </c>
      <c r="J163" s="262">
        <v>15000</v>
      </c>
      <c r="K163" s="261">
        <v>15000</v>
      </c>
      <c r="L163" s="261">
        <v>15000</v>
      </c>
      <c r="M163" s="350">
        <v>15000</v>
      </c>
      <c r="N163" s="269">
        <v>15000</v>
      </c>
      <c r="O163" s="262">
        <v>15000</v>
      </c>
      <c r="R163" s="203"/>
    </row>
    <row r="164" spans="1:59" x14ac:dyDescent="0.25">
      <c r="A164" s="52" t="s">
        <v>157</v>
      </c>
      <c r="B164" s="189" t="s">
        <v>167</v>
      </c>
      <c r="C164" s="180"/>
      <c r="D164" s="67"/>
      <c r="E164" s="100"/>
      <c r="F164" s="54">
        <f t="shared" ref="F164:G164" si="93">F165+F170</f>
        <v>1143406</v>
      </c>
      <c r="G164" s="148">
        <f t="shared" si="93"/>
        <v>45931.34</v>
      </c>
      <c r="H164" s="67">
        <f>H165+H170</f>
        <v>294315</v>
      </c>
      <c r="I164" s="148">
        <f>I165+I170</f>
        <v>1059890</v>
      </c>
      <c r="J164" s="270">
        <f>J165+J170</f>
        <v>2227187</v>
      </c>
      <c r="K164" s="265">
        <v>179945</v>
      </c>
      <c r="L164" s="265">
        <f t="shared" ref="L164" si="94">L165+L170</f>
        <v>253640</v>
      </c>
      <c r="M164" s="270">
        <f>M165+M170</f>
        <v>664687</v>
      </c>
      <c r="N164" s="265">
        <f t="shared" ref="N164:O164" si="95">N165+N170</f>
        <v>733640</v>
      </c>
      <c r="O164" s="270">
        <f t="shared" si="95"/>
        <v>752917</v>
      </c>
      <c r="R164" s="203"/>
    </row>
    <row r="165" spans="1:59" x14ac:dyDescent="0.25">
      <c r="A165" s="16" t="s">
        <v>103</v>
      </c>
      <c r="B165" s="196" t="s">
        <v>104</v>
      </c>
      <c r="C165" s="98">
        <f>SUM(C166:C167)</f>
        <v>7132178.4800000004</v>
      </c>
      <c r="D165" s="40">
        <f>SUM(D166:D169)</f>
        <v>466100</v>
      </c>
      <c r="E165" s="98">
        <f>SUM(E166:E169)</f>
        <v>213101.78</v>
      </c>
      <c r="F165" s="27">
        <f>SUM(F166:F169)</f>
        <v>1143406</v>
      </c>
      <c r="G165" s="83">
        <f>SUM(G166:G169)</f>
        <v>45931.34</v>
      </c>
      <c r="H165" s="40">
        <f t="shared" ref="H165:O165" si="96">SUM(H166:H169)</f>
        <v>294315</v>
      </c>
      <c r="I165" s="83">
        <f t="shared" si="96"/>
        <v>1059890</v>
      </c>
      <c r="J165" s="257">
        <f t="shared" si="96"/>
        <v>2227187</v>
      </c>
      <c r="K165" s="349">
        <f t="shared" si="96"/>
        <v>180515</v>
      </c>
      <c r="L165" s="349">
        <f t="shared" si="96"/>
        <v>253640</v>
      </c>
      <c r="M165" s="257">
        <f t="shared" si="96"/>
        <v>664687</v>
      </c>
      <c r="N165" s="256">
        <f t="shared" si="96"/>
        <v>253640</v>
      </c>
      <c r="O165" s="257">
        <f t="shared" si="96"/>
        <v>752917</v>
      </c>
    </row>
    <row r="166" spans="1:59" x14ac:dyDescent="0.25">
      <c r="A166" s="18" t="s">
        <v>105</v>
      </c>
      <c r="B166" s="196" t="s">
        <v>106</v>
      </c>
      <c r="C166" s="175">
        <v>7132178.4800000004</v>
      </c>
      <c r="D166" s="60">
        <v>425000</v>
      </c>
      <c r="E166" s="99">
        <v>191551.84</v>
      </c>
      <c r="F166" s="138">
        <v>1083594</v>
      </c>
      <c r="G166" s="99">
        <v>18056.43</v>
      </c>
      <c r="H166" s="60">
        <v>283800</v>
      </c>
      <c r="I166" s="84">
        <f>800000</f>
        <v>800000</v>
      </c>
      <c r="J166" s="262">
        <v>2119000</v>
      </c>
      <c r="K166" s="261">
        <v>170000</v>
      </c>
      <c r="L166" s="261">
        <v>50000</v>
      </c>
      <c r="M166" s="350">
        <v>556500</v>
      </c>
      <c r="N166" s="269">
        <f>50000</f>
        <v>50000</v>
      </c>
      <c r="O166" s="262">
        <v>569730</v>
      </c>
      <c r="R166" s="203"/>
    </row>
    <row r="167" spans="1:59" x14ac:dyDescent="0.25">
      <c r="A167" s="18" t="s">
        <v>120</v>
      </c>
      <c r="B167" s="196" t="s">
        <v>121</v>
      </c>
      <c r="C167" s="175">
        <v>0</v>
      </c>
      <c r="D167" s="60">
        <v>1800</v>
      </c>
      <c r="E167" s="99">
        <v>0</v>
      </c>
      <c r="F167" s="138">
        <v>1687</v>
      </c>
      <c r="G167" s="99"/>
      <c r="H167" s="60">
        <v>570</v>
      </c>
      <c r="I167" s="84">
        <v>570</v>
      </c>
      <c r="J167" s="262">
        <v>1687</v>
      </c>
      <c r="K167" s="261">
        <v>570</v>
      </c>
      <c r="L167" s="261">
        <v>570</v>
      </c>
      <c r="M167" s="350">
        <v>1687</v>
      </c>
      <c r="N167" s="269">
        <v>570</v>
      </c>
      <c r="O167" s="262">
        <v>1687</v>
      </c>
    </row>
    <row r="168" spans="1:59" x14ac:dyDescent="0.25">
      <c r="A168" s="18">
        <v>4223</v>
      </c>
      <c r="B168" s="196" t="s">
        <v>122</v>
      </c>
      <c r="C168" s="175">
        <v>0</v>
      </c>
      <c r="D168" s="60">
        <v>1800</v>
      </c>
      <c r="E168" s="99">
        <v>0</v>
      </c>
      <c r="F168" s="138">
        <v>150</v>
      </c>
      <c r="G168" s="99"/>
      <c r="H168" s="60">
        <v>570</v>
      </c>
      <c r="I168" s="84">
        <v>570</v>
      </c>
      <c r="J168" s="262">
        <v>1500</v>
      </c>
      <c r="K168" s="261">
        <v>570</v>
      </c>
      <c r="L168" s="261">
        <v>570</v>
      </c>
      <c r="M168" s="350">
        <v>1500</v>
      </c>
      <c r="N168" s="269">
        <v>570</v>
      </c>
      <c r="O168" s="262">
        <v>1500</v>
      </c>
    </row>
    <row r="169" spans="1:59" s="74" customFormat="1" x14ac:dyDescent="0.25">
      <c r="A169" s="18" t="s">
        <v>147</v>
      </c>
      <c r="B169" s="196" t="s">
        <v>141</v>
      </c>
      <c r="C169" s="175">
        <v>36655.5</v>
      </c>
      <c r="D169" s="60">
        <v>37500</v>
      </c>
      <c r="E169" s="99">
        <v>21549.94</v>
      </c>
      <c r="F169" s="138">
        <v>57975</v>
      </c>
      <c r="G169" s="99">
        <v>27874.91</v>
      </c>
      <c r="H169" s="60">
        <v>9375</v>
      </c>
      <c r="I169" s="84">
        <v>258750</v>
      </c>
      <c r="J169" s="262">
        <v>105000</v>
      </c>
      <c r="K169" s="261">
        <v>9375</v>
      </c>
      <c r="L169" s="261">
        <v>202500</v>
      </c>
      <c r="M169" s="350">
        <v>105000</v>
      </c>
      <c r="N169" s="269">
        <v>202500</v>
      </c>
      <c r="O169" s="262">
        <v>180000</v>
      </c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</row>
    <row r="170" spans="1:59" x14ac:dyDescent="0.25">
      <c r="A170" s="16" t="s">
        <v>107</v>
      </c>
      <c r="B170" s="198" t="s">
        <v>108</v>
      </c>
      <c r="C170" s="143">
        <f>SUM(C171)</f>
        <v>207714.5</v>
      </c>
      <c r="D170" s="40">
        <f t="shared" ref="D170:O170" si="97">SUM(D171)</f>
        <v>480000</v>
      </c>
      <c r="E170" s="98">
        <f t="shared" si="97"/>
        <v>0</v>
      </c>
      <c r="F170" s="27">
        <f t="shared" si="97"/>
        <v>0</v>
      </c>
      <c r="G170" s="83">
        <f t="shared" si="97"/>
        <v>0</v>
      </c>
      <c r="H170" s="40">
        <f>SUM(H171)</f>
        <v>0</v>
      </c>
      <c r="I170" s="83">
        <f>SUM(I171)</f>
        <v>0</v>
      </c>
      <c r="J170" s="257">
        <f>SUM(J171)</f>
        <v>0</v>
      </c>
      <c r="K170" s="349">
        <f t="shared" si="97"/>
        <v>0</v>
      </c>
      <c r="L170" s="349">
        <f t="shared" si="97"/>
        <v>0</v>
      </c>
      <c r="M170" s="257">
        <f>SUM(M171)</f>
        <v>0</v>
      </c>
      <c r="N170" s="256">
        <f t="shared" si="97"/>
        <v>480000</v>
      </c>
      <c r="O170" s="257">
        <f t="shared" si="97"/>
        <v>0</v>
      </c>
      <c r="R170" s="203"/>
    </row>
    <row r="171" spans="1:59" ht="15.75" thickBot="1" x14ac:dyDescent="0.3">
      <c r="A171" s="18" t="s">
        <v>146</v>
      </c>
      <c r="B171" s="197" t="s">
        <v>109</v>
      </c>
      <c r="C171" s="179">
        <v>207714.5</v>
      </c>
      <c r="D171" s="61">
        <v>480000</v>
      </c>
      <c r="E171" s="95">
        <v>0</v>
      </c>
      <c r="F171" s="152">
        <v>0</v>
      </c>
      <c r="G171" s="95">
        <v>0</v>
      </c>
      <c r="H171" s="61">
        <v>0</v>
      </c>
      <c r="I171" s="82">
        <v>0</v>
      </c>
      <c r="J171" s="299">
        <v>0</v>
      </c>
      <c r="K171" s="354">
        <v>0</v>
      </c>
      <c r="L171" s="354">
        <v>0</v>
      </c>
      <c r="M171" s="355">
        <v>0</v>
      </c>
      <c r="N171" s="300">
        <v>480000</v>
      </c>
      <c r="O171" s="299">
        <v>0</v>
      </c>
      <c r="R171" s="203"/>
    </row>
    <row r="172" spans="1:59" ht="15.75" thickBot="1" x14ac:dyDescent="0.3">
      <c r="A172" s="45" t="s">
        <v>149</v>
      </c>
      <c r="B172" s="199" t="s">
        <v>144</v>
      </c>
      <c r="C172" s="141">
        <f>C174+C179+C183+C214+C220+C234+C237+C244+C177</f>
        <v>25698377.819999997</v>
      </c>
      <c r="D172" s="105">
        <f>D174+D177+D179+D183+D187+D190+D199+D203+D208</f>
        <v>74101860</v>
      </c>
      <c r="E172" s="141">
        <f>E174+E177+E179+E183+E187+E190+E199+E203+E208</f>
        <v>12443941.239999998</v>
      </c>
      <c r="F172" s="210">
        <f t="shared" ref="F172:G172" si="98">F173+F182+F202</f>
        <v>71980343</v>
      </c>
      <c r="G172" s="205">
        <f t="shared" si="98"/>
        <v>31940873.080000006</v>
      </c>
      <c r="H172" s="105">
        <f>H173+H182+H202</f>
        <v>61845035</v>
      </c>
      <c r="I172" s="102">
        <f>I174+I177+I179+I183+I187+I190+I199+I203+I208</f>
        <v>82807035</v>
      </c>
      <c r="J172" s="356">
        <f>J173+J182+J202</f>
        <v>79556066.75</v>
      </c>
      <c r="K172" s="357">
        <f t="shared" ref="K172:O172" si="99">K174+K177+K179+K183+K187+K190+K199+K203+K208</f>
        <v>58035585</v>
      </c>
      <c r="L172" s="357">
        <f t="shared" si="99"/>
        <v>77570235</v>
      </c>
      <c r="M172" s="356">
        <f>M173+M182+M202</f>
        <v>75128014.75</v>
      </c>
      <c r="N172" s="358">
        <f t="shared" ref="N172" si="100">N174+N177+N179+N183+N187+N190+N199+N203+N208</f>
        <v>75867985</v>
      </c>
      <c r="O172" s="356">
        <f t="shared" si="99"/>
        <v>81316365.75</v>
      </c>
      <c r="R172" s="203"/>
    </row>
    <row r="173" spans="1:59" x14ac:dyDescent="0.25">
      <c r="A173" s="52" t="s">
        <v>7</v>
      </c>
      <c r="B173" s="189" t="s">
        <v>165</v>
      </c>
      <c r="C173" s="142"/>
      <c r="D173" s="106"/>
      <c r="E173" s="142"/>
      <c r="F173" s="211">
        <f t="shared" ref="F173:G173" si="101">F174+F177+F179</f>
        <v>32309905</v>
      </c>
      <c r="G173" s="206">
        <f t="shared" si="101"/>
        <v>23877602.380000003</v>
      </c>
      <c r="H173" s="106">
        <f>H174+H177+H179</f>
        <v>30472200</v>
      </c>
      <c r="I173" s="103">
        <f>I174+I177+I179</f>
        <v>33756475</v>
      </c>
      <c r="J173" s="359">
        <f>J174+J177+J179</f>
        <v>36915468.75</v>
      </c>
      <c r="K173" s="360">
        <f t="shared" ref="K173:O173" si="102">K174+K177+K179</f>
        <v>30032200</v>
      </c>
      <c r="L173" s="361">
        <f t="shared" si="102"/>
        <v>33756475</v>
      </c>
      <c r="M173" s="362">
        <f>M174+M177+M179</f>
        <v>37015468.75</v>
      </c>
      <c r="N173" s="363">
        <f t="shared" ref="N173" si="103">N174+N177+N179</f>
        <v>33756475</v>
      </c>
      <c r="O173" s="359">
        <f t="shared" si="102"/>
        <v>41471593.75</v>
      </c>
    </row>
    <row r="174" spans="1:59" x14ac:dyDescent="0.25">
      <c r="A174" s="44" t="s">
        <v>19</v>
      </c>
      <c r="B174" s="198" t="s">
        <v>20</v>
      </c>
      <c r="C174" s="143">
        <f>SUM(C175:C176)</f>
        <v>19445858.819999997</v>
      </c>
      <c r="D174" s="107">
        <f>SUM(D175:D176)</f>
        <v>25840000</v>
      </c>
      <c r="E174" s="143">
        <f t="shared" ref="E174:O174" si="104">SUM(E175:E176)</f>
        <v>7866539.54</v>
      </c>
      <c r="F174" s="212">
        <f t="shared" si="104"/>
        <v>28368070</v>
      </c>
      <c r="G174" s="207">
        <f t="shared" si="104"/>
        <v>20642362.640000001</v>
      </c>
      <c r="H174" s="107">
        <f t="shared" si="104"/>
        <v>25840000</v>
      </c>
      <c r="I174" s="104">
        <f t="shared" si="104"/>
        <v>28815000</v>
      </c>
      <c r="J174" s="364">
        <f t="shared" si="104"/>
        <v>31343750</v>
      </c>
      <c r="K174" s="365">
        <f t="shared" si="104"/>
        <v>25840000</v>
      </c>
      <c r="L174" s="366">
        <f t="shared" si="104"/>
        <v>28815000</v>
      </c>
      <c r="M174" s="367">
        <f t="shared" si="104"/>
        <v>31343750</v>
      </c>
      <c r="N174" s="368">
        <f t="shared" si="104"/>
        <v>28815000</v>
      </c>
      <c r="O174" s="364">
        <f t="shared" si="104"/>
        <v>35168750</v>
      </c>
    </row>
    <row r="175" spans="1:59" x14ac:dyDescent="0.25">
      <c r="A175" s="17" t="s">
        <v>21</v>
      </c>
      <c r="B175" s="196" t="s">
        <v>22</v>
      </c>
      <c r="C175" s="175">
        <v>19057303.079999998</v>
      </c>
      <c r="D175" s="60">
        <v>25500000</v>
      </c>
      <c r="E175" s="99">
        <v>7710052.0800000001</v>
      </c>
      <c r="F175" s="138">
        <v>28049320</v>
      </c>
      <c r="G175" s="99">
        <v>20537934.390000001</v>
      </c>
      <c r="H175" s="60">
        <v>25500000</v>
      </c>
      <c r="I175" s="36">
        <v>28475000</v>
      </c>
      <c r="J175" s="262">
        <v>31025000</v>
      </c>
      <c r="K175" s="369">
        <v>25500000</v>
      </c>
      <c r="L175" s="331">
        <v>28475000</v>
      </c>
      <c r="M175" s="370">
        <v>31025000</v>
      </c>
      <c r="N175" s="269">
        <v>28475000</v>
      </c>
      <c r="O175" s="262">
        <v>34850000</v>
      </c>
    </row>
    <row r="176" spans="1:59" x14ac:dyDescent="0.25">
      <c r="A176" s="17" t="s">
        <v>23</v>
      </c>
      <c r="B176" s="196" t="s">
        <v>24</v>
      </c>
      <c r="C176" s="175">
        <v>388555.74</v>
      </c>
      <c r="D176" s="60">
        <v>340000</v>
      </c>
      <c r="E176" s="99">
        <v>156487.46</v>
      </c>
      <c r="F176" s="138">
        <v>318750</v>
      </c>
      <c r="G176" s="99">
        <v>104428.25</v>
      </c>
      <c r="H176" s="60">
        <v>340000</v>
      </c>
      <c r="I176" s="36">
        <v>340000</v>
      </c>
      <c r="J176" s="262">
        <v>318750</v>
      </c>
      <c r="K176" s="369">
        <v>340000</v>
      </c>
      <c r="L176" s="331">
        <v>340000</v>
      </c>
      <c r="M176" s="370">
        <v>318750</v>
      </c>
      <c r="N176" s="269">
        <v>340000</v>
      </c>
      <c r="O176" s="262">
        <v>318750</v>
      </c>
    </row>
    <row r="177" spans="1:18" x14ac:dyDescent="0.25">
      <c r="A177" s="16" t="s">
        <v>25</v>
      </c>
      <c r="B177" s="196" t="s">
        <v>26</v>
      </c>
      <c r="C177" s="98">
        <f>SUM(C178)</f>
        <v>420000</v>
      </c>
      <c r="D177" s="40">
        <f t="shared" ref="D177:O177" si="105">SUM(D178)</f>
        <v>187000</v>
      </c>
      <c r="E177" s="98">
        <f t="shared" si="105"/>
        <v>2125</v>
      </c>
      <c r="F177" s="27">
        <f t="shared" si="105"/>
        <v>0</v>
      </c>
      <c r="G177" s="83">
        <f t="shared" si="105"/>
        <v>320025</v>
      </c>
      <c r="H177" s="40">
        <f>SUM(H178)</f>
        <v>187000</v>
      </c>
      <c r="I177" s="35">
        <f t="shared" si="105"/>
        <v>187000</v>
      </c>
      <c r="J177" s="257">
        <f>SUM(J178)</f>
        <v>400000</v>
      </c>
      <c r="K177" s="371">
        <f t="shared" si="105"/>
        <v>187000</v>
      </c>
      <c r="L177" s="328">
        <f t="shared" si="105"/>
        <v>187000</v>
      </c>
      <c r="M177" s="372">
        <f>SUM(M178)</f>
        <v>500000</v>
      </c>
      <c r="N177" s="256">
        <f t="shared" si="105"/>
        <v>187000</v>
      </c>
      <c r="O177" s="257">
        <f t="shared" si="105"/>
        <v>500000</v>
      </c>
    </row>
    <row r="178" spans="1:18" x14ac:dyDescent="0.25">
      <c r="A178" s="17" t="s">
        <v>27</v>
      </c>
      <c r="B178" s="196" t="s">
        <v>26</v>
      </c>
      <c r="C178" s="175">
        <f>195000+225000</f>
        <v>420000</v>
      </c>
      <c r="D178" s="60">
        <v>187000</v>
      </c>
      <c r="E178" s="99">
        <v>2125</v>
      </c>
      <c r="F178" s="138">
        <v>0</v>
      </c>
      <c r="G178" s="99">
        <v>320025</v>
      </c>
      <c r="H178" s="60">
        <v>187000</v>
      </c>
      <c r="I178" s="36">
        <v>187000</v>
      </c>
      <c r="J178" s="262">
        <v>400000</v>
      </c>
      <c r="K178" s="369">
        <v>187000</v>
      </c>
      <c r="L178" s="331">
        <v>187000</v>
      </c>
      <c r="M178" s="370">
        <v>500000</v>
      </c>
      <c r="N178" s="269">
        <v>187000</v>
      </c>
      <c r="O178" s="262">
        <v>500000</v>
      </c>
    </row>
    <row r="179" spans="1:18" x14ac:dyDescent="0.25">
      <c r="A179" s="16" t="s">
        <v>28</v>
      </c>
      <c r="B179" s="196" t="s">
        <v>29</v>
      </c>
      <c r="C179" s="98">
        <f t="shared" ref="C179" si="106">SUM(C180:C181)</f>
        <v>2768999.24</v>
      </c>
      <c r="D179" s="40">
        <f>SUM(D180:D181)</f>
        <v>4445200</v>
      </c>
      <c r="E179" s="98">
        <f>SUM(E180:E181)</f>
        <v>1115232.48</v>
      </c>
      <c r="F179" s="27">
        <f t="shared" ref="F179:G179" si="107">SUM(F180:F181)</f>
        <v>3941835</v>
      </c>
      <c r="G179" s="83">
        <f t="shared" si="107"/>
        <v>2915214.74</v>
      </c>
      <c r="H179" s="40">
        <f>SUM(H180:H181)</f>
        <v>4445200</v>
      </c>
      <c r="I179" s="35">
        <f>SUM(I180:I181)</f>
        <v>4754475</v>
      </c>
      <c r="J179" s="257">
        <f>SUM(J180)</f>
        <v>5171718.75</v>
      </c>
      <c r="K179" s="371">
        <f>SUM(K180:K181)</f>
        <v>4005200</v>
      </c>
      <c r="L179" s="328">
        <f>SUM(L180:L181)</f>
        <v>4754475</v>
      </c>
      <c r="M179" s="372">
        <f>SUM(M180:M181)</f>
        <v>5171718.75</v>
      </c>
      <c r="N179" s="256">
        <f>SUM(N180:N181)</f>
        <v>4754475</v>
      </c>
      <c r="O179" s="257">
        <f>SUM(O180:O181)</f>
        <v>5802843.75</v>
      </c>
    </row>
    <row r="180" spans="1:18" x14ac:dyDescent="0.25">
      <c r="A180" s="17" t="s">
        <v>30</v>
      </c>
      <c r="B180" s="196" t="s">
        <v>31</v>
      </c>
      <c r="C180" s="175">
        <v>2495252.52</v>
      </c>
      <c r="D180" s="60">
        <v>4005200</v>
      </c>
      <c r="E180" s="99">
        <v>1089223.3500000001</v>
      </c>
      <c r="F180" s="138">
        <v>3941835</v>
      </c>
      <c r="G180" s="99">
        <v>2915214.74</v>
      </c>
      <c r="H180" s="60">
        <v>4005200</v>
      </c>
      <c r="I180" s="36">
        <f>I174*16.5/100</f>
        <v>4754475</v>
      </c>
      <c r="J180" s="262">
        <f>J174*16.5/100</f>
        <v>5171718.75</v>
      </c>
      <c r="K180" s="369">
        <v>4005200</v>
      </c>
      <c r="L180" s="331">
        <f>L174*16.5/100</f>
        <v>4754475</v>
      </c>
      <c r="M180" s="370">
        <f>M174*16.5/100</f>
        <v>5171718.75</v>
      </c>
      <c r="N180" s="269">
        <f>N174*16.5/100</f>
        <v>4754475</v>
      </c>
      <c r="O180" s="262">
        <f>O174*16.5/100</f>
        <v>5802843.75</v>
      </c>
      <c r="R180" s="203"/>
    </row>
    <row r="181" spans="1:18" x14ac:dyDescent="0.25">
      <c r="A181" s="17" t="s">
        <v>32</v>
      </c>
      <c r="B181" s="196" t="s">
        <v>140</v>
      </c>
      <c r="C181" s="175">
        <v>273746.71999999997</v>
      </c>
      <c r="D181" s="60">
        <v>440000</v>
      </c>
      <c r="E181" s="99">
        <v>26009.13</v>
      </c>
      <c r="F181" s="138">
        <v>0</v>
      </c>
      <c r="G181" s="99">
        <v>0</v>
      </c>
      <c r="H181" s="60">
        <v>440000</v>
      </c>
      <c r="I181" s="36">
        <v>0</v>
      </c>
      <c r="J181" s="262">
        <v>0</v>
      </c>
      <c r="K181" s="369">
        <v>0</v>
      </c>
      <c r="L181" s="331">
        <v>0</v>
      </c>
      <c r="M181" s="370"/>
      <c r="N181" s="261">
        <v>0</v>
      </c>
      <c r="O181" s="262">
        <v>0</v>
      </c>
    </row>
    <row r="182" spans="1:18" x14ac:dyDescent="0.25">
      <c r="A182" s="52" t="s">
        <v>155</v>
      </c>
      <c r="B182" s="189" t="s">
        <v>164</v>
      </c>
      <c r="C182" s="130"/>
      <c r="D182" s="67"/>
      <c r="E182" s="100"/>
      <c r="F182" s="54">
        <f t="shared" ref="F182:G182" si="108">F183+F187+F190+F199</f>
        <v>33190280</v>
      </c>
      <c r="G182" s="148">
        <f t="shared" si="108"/>
        <v>7802992.9900000002</v>
      </c>
      <c r="H182" s="67">
        <f>H183+H187+H190+H199</f>
        <v>29707750</v>
      </c>
      <c r="I182" s="79">
        <f>I183+I187+I190+I199</f>
        <v>43060550</v>
      </c>
      <c r="J182" s="270">
        <f>J183+J187+J190+J199</f>
        <v>32331535</v>
      </c>
      <c r="K182" s="271">
        <f t="shared" ref="K182:L182" si="109">K183+K187+K190+K199</f>
        <v>26976500</v>
      </c>
      <c r="L182" s="334">
        <f t="shared" si="109"/>
        <v>42432500</v>
      </c>
      <c r="M182" s="373">
        <f>M183+M187+M190+M199</f>
        <v>34345984</v>
      </c>
      <c r="N182" s="265">
        <f t="shared" ref="N182:O182" si="110">N183+N187+N190+N199</f>
        <v>38010250</v>
      </c>
      <c r="O182" s="270">
        <f t="shared" si="110"/>
        <v>35578250</v>
      </c>
      <c r="R182" s="203"/>
    </row>
    <row r="183" spans="1:18" x14ac:dyDescent="0.25">
      <c r="A183" s="16" t="s">
        <v>33</v>
      </c>
      <c r="B183" s="196" t="s">
        <v>34</v>
      </c>
      <c r="C183" s="98">
        <f t="shared" ref="C183" si="111">SUM(C210:C212)</f>
        <v>1988348.31</v>
      </c>
      <c r="D183" s="40">
        <f>SUM(D184:D186)</f>
        <v>1606500</v>
      </c>
      <c r="E183" s="98">
        <f>SUM(E184:E186)</f>
        <v>552330.96</v>
      </c>
      <c r="F183" s="27">
        <f t="shared" ref="F183:O183" si="112">SUM(F184:F186)</f>
        <v>1700000</v>
      </c>
      <c r="G183" s="83">
        <f t="shared" si="112"/>
        <v>722236.55999999994</v>
      </c>
      <c r="H183" s="40">
        <f t="shared" si="112"/>
        <v>1606500</v>
      </c>
      <c r="I183" s="35">
        <f t="shared" si="112"/>
        <v>2714000</v>
      </c>
      <c r="J183" s="256">
        <f t="shared" si="112"/>
        <v>2329000</v>
      </c>
      <c r="K183" s="371">
        <f t="shared" si="112"/>
        <v>1606500</v>
      </c>
      <c r="L183" s="328">
        <f t="shared" si="112"/>
        <v>2591000</v>
      </c>
      <c r="M183" s="372">
        <f t="shared" si="112"/>
        <v>2329000</v>
      </c>
      <c r="N183" s="256">
        <f t="shared" si="112"/>
        <v>2599000</v>
      </c>
      <c r="O183" s="257">
        <f t="shared" si="112"/>
        <v>2329000</v>
      </c>
    </row>
    <row r="184" spans="1:18" x14ac:dyDescent="0.25">
      <c r="A184" s="17" t="s">
        <v>35</v>
      </c>
      <c r="B184" s="196" t="s">
        <v>36</v>
      </c>
      <c r="C184" s="175">
        <v>473145.16</v>
      </c>
      <c r="D184" s="60">
        <v>595000</v>
      </c>
      <c r="E184" s="99">
        <v>82601.78</v>
      </c>
      <c r="F184" s="138">
        <v>425000</v>
      </c>
      <c r="G184" s="99">
        <v>83410.039999999994</v>
      </c>
      <c r="H184" s="60">
        <v>595000</v>
      </c>
      <c r="I184" s="36">
        <v>850000</v>
      </c>
      <c r="J184" s="262">
        <v>765000</v>
      </c>
      <c r="K184" s="369">
        <v>595000</v>
      </c>
      <c r="L184" s="331">
        <v>850000</v>
      </c>
      <c r="M184" s="370">
        <v>765000</v>
      </c>
      <c r="N184" s="269">
        <v>850000</v>
      </c>
      <c r="O184" s="262">
        <v>765000</v>
      </c>
    </row>
    <row r="185" spans="1:18" x14ac:dyDescent="0.25">
      <c r="A185" s="17" t="s">
        <v>37</v>
      </c>
      <c r="B185" s="196" t="s">
        <v>38</v>
      </c>
      <c r="C185" s="175">
        <v>395630.01</v>
      </c>
      <c r="D185" s="60">
        <v>714000</v>
      </c>
      <c r="E185" s="99">
        <v>330896.78999999998</v>
      </c>
      <c r="F185" s="138">
        <v>765000</v>
      </c>
      <c r="G185" s="99">
        <v>610748.57999999996</v>
      </c>
      <c r="H185" s="60">
        <v>714000</v>
      </c>
      <c r="I185" s="36">
        <v>714000</v>
      </c>
      <c r="J185" s="262">
        <v>884000</v>
      </c>
      <c r="K185" s="369">
        <v>714000</v>
      </c>
      <c r="L185" s="331">
        <v>714000</v>
      </c>
      <c r="M185" s="370">
        <v>884000</v>
      </c>
      <c r="N185" s="269">
        <v>714000</v>
      </c>
      <c r="O185" s="262">
        <v>884000</v>
      </c>
    </row>
    <row r="186" spans="1:18" x14ac:dyDescent="0.25">
      <c r="A186" s="17" t="s">
        <v>39</v>
      </c>
      <c r="B186" s="196" t="s">
        <v>40</v>
      </c>
      <c r="C186" s="175">
        <v>221824.74</v>
      </c>
      <c r="D186" s="60">
        <v>297500</v>
      </c>
      <c r="E186" s="99">
        <v>138832.39000000001</v>
      </c>
      <c r="F186" s="138">
        <v>510000</v>
      </c>
      <c r="G186" s="99">
        <v>28077.94</v>
      </c>
      <c r="H186" s="60">
        <v>297500</v>
      </c>
      <c r="I186" s="36">
        <v>1150000</v>
      </c>
      <c r="J186" s="262">
        <v>680000</v>
      </c>
      <c r="K186" s="369">
        <v>297500</v>
      </c>
      <c r="L186" s="331">
        <v>1027000</v>
      </c>
      <c r="M186" s="370">
        <v>680000</v>
      </c>
      <c r="N186" s="269">
        <v>1035000</v>
      </c>
      <c r="O186" s="262">
        <v>680000</v>
      </c>
      <c r="R186" s="203"/>
    </row>
    <row r="187" spans="1:18" x14ac:dyDescent="0.25">
      <c r="A187" s="16" t="s">
        <v>43</v>
      </c>
      <c r="B187" s="196" t="s">
        <v>44</v>
      </c>
      <c r="C187" s="98">
        <f t="shared" ref="C187:L187" si="113">SUM(C188:C189)</f>
        <v>1231505.3</v>
      </c>
      <c r="D187" s="40">
        <f t="shared" si="113"/>
        <v>2337500</v>
      </c>
      <c r="E187" s="98">
        <f t="shared" si="113"/>
        <v>433525.03</v>
      </c>
      <c r="F187" s="27">
        <f t="shared" si="113"/>
        <v>2805000</v>
      </c>
      <c r="G187" s="83">
        <f t="shared" si="113"/>
        <v>2042325.69</v>
      </c>
      <c r="H187" s="40">
        <f>SUM(H188:H189)</f>
        <v>1190000</v>
      </c>
      <c r="I187" s="35">
        <f t="shared" si="113"/>
        <v>2337500</v>
      </c>
      <c r="J187" s="257">
        <f>SUM(J188:J189)</f>
        <v>3017500</v>
      </c>
      <c r="K187" s="371">
        <f t="shared" si="113"/>
        <v>1190000</v>
      </c>
      <c r="L187" s="328">
        <f t="shared" si="113"/>
        <v>2337500</v>
      </c>
      <c r="M187" s="372">
        <f>SUM(M188:M189)</f>
        <v>2796500</v>
      </c>
      <c r="N187" s="256">
        <f t="shared" ref="N187:O187" si="114">SUM(N188:N189)</f>
        <v>2337500</v>
      </c>
      <c r="O187" s="257">
        <f t="shared" si="114"/>
        <v>2796500</v>
      </c>
    </row>
    <row r="188" spans="1:18" x14ac:dyDescent="0.25">
      <c r="A188" s="17" t="s">
        <v>45</v>
      </c>
      <c r="B188" s="196" t="s">
        <v>46</v>
      </c>
      <c r="C188" s="175">
        <v>843399.06</v>
      </c>
      <c r="D188" s="60">
        <v>1445000</v>
      </c>
      <c r="E188" s="99">
        <v>289025.03000000003</v>
      </c>
      <c r="F188" s="138">
        <v>1530000</v>
      </c>
      <c r="G188" s="99">
        <v>1612401.63</v>
      </c>
      <c r="H188" s="60">
        <v>297500</v>
      </c>
      <c r="I188" s="63">
        <v>1445000</v>
      </c>
      <c r="J188" s="262">
        <v>1700000</v>
      </c>
      <c r="K188" s="329">
        <v>297500</v>
      </c>
      <c r="L188" s="374">
        <v>1445000</v>
      </c>
      <c r="M188" s="370">
        <v>1402500</v>
      </c>
      <c r="N188" s="261">
        <v>1445000</v>
      </c>
      <c r="O188" s="262">
        <v>1402500</v>
      </c>
    </row>
    <row r="189" spans="1:18" x14ac:dyDescent="0.25">
      <c r="A189" s="17" t="s">
        <v>47</v>
      </c>
      <c r="B189" s="196" t="s">
        <v>48</v>
      </c>
      <c r="C189" s="175">
        <v>388106.23999999999</v>
      </c>
      <c r="D189" s="60">
        <v>892500</v>
      </c>
      <c r="E189" s="99">
        <v>144500</v>
      </c>
      <c r="F189" s="138">
        <v>1275000</v>
      </c>
      <c r="G189" s="99">
        <v>429924.06</v>
      </c>
      <c r="H189" s="60">
        <v>892500</v>
      </c>
      <c r="I189" s="63">
        <v>892500</v>
      </c>
      <c r="J189" s="262">
        <v>1317500</v>
      </c>
      <c r="K189" s="329">
        <v>892500</v>
      </c>
      <c r="L189" s="374">
        <v>892500</v>
      </c>
      <c r="M189" s="370">
        <v>1394000</v>
      </c>
      <c r="N189" s="261">
        <v>892500</v>
      </c>
      <c r="O189" s="262">
        <v>1394000</v>
      </c>
    </row>
    <row r="190" spans="1:18" x14ac:dyDescent="0.25">
      <c r="A190" s="16" t="s">
        <v>55</v>
      </c>
      <c r="B190" s="196" t="s">
        <v>56</v>
      </c>
      <c r="C190" s="98">
        <f>SUM(C191:C219)</f>
        <v>33267823.509999998</v>
      </c>
      <c r="D190" s="40">
        <f>SUM(D191:D198)</f>
        <v>34252160</v>
      </c>
      <c r="E190" s="98">
        <f>SUM(E191:E198)</f>
        <v>1264403.7</v>
      </c>
      <c r="F190" s="27">
        <f t="shared" ref="F190:O190" si="115">SUM(F191:F198)</f>
        <v>28600280</v>
      </c>
      <c r="G190" s="83">
        <f t="shared" si="115"/>
        <v>4993689.08</v>
      </c>
      <c r="H190" s="40">
        <f t="shared" si="115"/>
        <v>26826250</v>
      </c>
      <c r="I190" s="35">
        <f t="shared" si="115"/>
        <v>37881550</v>
      </c>
      <c r="J190" s="257">
        <f t="shared" si="115"/>
        <v>26857535</v>
      </c>
      <c r="K190" s="371">
        <f t="shared" si="115"/>
        <v>24095000</v>
      </c>
      <c r="L190" s="328">
        <f t="shared" si="115"/>
        <v>37376500</v>
      </c>
      <c r="M190" s="375">
        <f t="shared" si="115"/>
        <v>29092984</v>
      </c>
      <c r="N190" s="256">
        <f t="shared" si="115"/>
        <v>32946250</v>
      </c>
      <c r="O190" s="257">
        <f t="shared" si="115"/>
        <v>30325250</v>
      </c>
    </row>
    <row r="191" spans="1:18" x14ac:dyDescent="0.25">
      <c r="A191" s="17" t="s">
        <v>57</v>
      </c>
      <c r="B191" s="196" t="s">
        <v>58</v>
      </c>
      <c r="C191" s="175">
        <v>600381.51</v>
      </c>
      <c r="D191" s="60">
        <v>595000</v>
      </c>
      <c r="E191" s="99">
        <v>140250</v>
      </c>
      <c r="F191" s="138">
        <v>850000</v>
      </c>
      <c r="G191" s="99">
        <v>766042.45</v>
      </c>
      <c r="H191" s="60">
        <v>595000</v>
      </c>
      <c r="I191" s="63">
        <v>595000</v>
      </c>
      <c r="J191" s="262">
        <v>998750</v>
      </c>
      <c r="K191" s="329">
        <v>595000</v>
      </c>
      <c r="L191" s="374">
        <v>595000</v>
      </c>
      <c r="M191" s="370">
        <v>998750</v>
      </c>
      <c r="N191" s="261">
        <v>595000</v>
      </c>
      <c r="O191" s="262">
        <v>998750</v>
      </c>
    </row>
    <row r="192" spans="1:18" x14ac:dyDescent="0.25">
      <c r="A192" s="17" t="s">
        <v>59</v>
      </c>
      <c r="B192" s="196" t="s">
        <v>60</v>
      </c>
      <c r="C192" s="175">
        <v>2494350.0099999998</v>
      </c>
      <c r="D192" s="60">
        <v>4368700</v>
      </c>
      <c r="E192" s="99">
        <v>42500</v>
      </c>
      <c r="F192" s="138">
        <v>4370530</v>
      </c>
      <c r="G192" s="99">
        <v>37385.07</v>
      </c>
      <c r="H192" s="60">
        <v>2108250</v>
      </c>
      <c r="I192" s="36">
        <f>3935000</f>
        <v>3935000</v>
      </c>
      <c r="J192" s="262">
        <v>2550000</v>
      </c>
      <c r="K192" s="369">
        <v>1577000</v>
      </c>
      <c r="L192" s="331">
        <f>4253000</f>
        <v>4253000</v>
      </c>
      <c r="M192" s="370">
        <v>3400000</v>
      </c>
      <c r="N192" s="269">
        <f>4302000</f>
        <v>4302000</v>
      </c>
      <c r="O192" s="262">
        <v>3400000</v>
      </c>
    </row>
    <row r="193" spans="1:59" x14ac:dyDescent="0.25">
      <c r="A193" s="17" t="s">
        <v>61</v>
      </c>
      <c r="B193" s="196" t="s">
        <v>62</v>
      </c>
      <c r="C193" s="175">
        <v>368204.13</v>
      </c>
      <c r="D193" s="60">
        <v>425000</v>
      </c>
      <c r="E193" s="99">
        <v>53778.45</v>
      </c>
      <c r="F193" s="138">
        <v>128000</v>
      </c>
      <c r="G193" s="99">
        <v>57079.51</v>
      </c>
      <c r="H193" s="60">
        <v>425000</v>
      </c>
      <c r="I193" s="36">
        <v>425000</v>
      </c>
      <c r="J193" s="262">
        <v>170000</v>
      </c>
      <c r="K193" s="369">
        <v>425000</v>
      </c>
      <c r="L193" s="331">
        <v>425000</v>
      </c>
      <c r="M193" s="370">
        <v>170000</v>
      </c>
      <c r="N193" s="269">
        <v>425000</v>
      </c>
      <c r="O193" s="262">
        <v>170000</v>
      </c>
    </row>
    <row r="194" spans="1:59" x14ac:dyDescent="0.25">
      <c r="A194" s="17" t="s">
        <v>63</v>
      </c>
      <c r="B194" s="196" t="s">
        <v>64</v>
      </c>
      <c r="C194" s="175">
        <v>400000</v>
      </c>
      <c r="D194" s="60">
        <v>127500</v>
      </c>
      <c r="E194" s="99">
        <v>0</v>
      </c>
      <c r="F194" s="138">
        <v>765000</v>
      </c>
      <c r="G194" s="99">
        <v>170000</v>
      </c>
      <c r="H194" s="60">
        <v>127500</v>
      </c>
      <c r="I194" s="63">
        <v>127500</v>
      </c>
      <c r="J194" s="262">
        <v>765000</v>
      </c>
      <c r="K194" s="329">
        <v>127500</v>
      </c>
      <c r="L194" s="374">
        <v>127500</v>
      </c>
      <c r="M194" s="370">
        <v>765000</v>
      </c>
      <c r="N194" s="261">
        <v>127500</v>
      </c>
      <c r="O194" s="262">
        <v>765000</v>
      </c>
    </row>
    <row r="195" spans="1:59" x14ac:dyDescent="0.25">
      <c r="A195" s="17" t="s">
        <v>65</v>
      </c>
      <c r="B195" s="196" t="s">
        <v>66</v>
      </c>
      <c r="C195" s="175">
        <v>2049086.52</v>
      </c>
      <c r="D195" s="60">
        <v>2720000</v>
      </c>
      <c r="E195" s="99">
        <v>481433.93</v>
      </c>
      <c r="F195" s="138">
        <v>5100000</v>
      </c>
      <c r="G195" s="99">
        <v>1935956.87</v>
      </c>
      <c r="H195" s="60">
        <v>2720000</v>
      </c>
      <c r="I195" s="63">
        <v>2800000</v>
      </c>
      <c r="J195" s="262">
        <v>4462500</v>
      </c>
      <c r="K195" s="329">
        <v>2720000</v>
      </c>
      <c r="L195" s="374">
        <v>2800000</v>
      </c>
      <c r="M195" s="370">
        <v>4462500</v>
      </c>
      <c r="N195" s="261">
        <v>2800000</v>
      </c>
      <c r="O195" s="262">
        <v>4462500</v>
      </c>
    </row>
    <row r="196" spans="1:59" x14ac:dyDescent="0.25">
      <c r="A196" s="17" t="s">
        <v>69</v>
      </c>
      <c r="B196" s="196" t="s">
        <v>70</v>
      </c>
      <c r="C196" s="175">
        <v>1210507.45</v>
      </c>
      <c r="D196" s="60">
        <v>1853000</v>
      </c>
      <c r="E196" s="99">
        <v>452941.32</v>
      </c>
      <c r="F196" s="138">
        <v>2295000</v>
      </c>
      <c r="G196" s="99">
        <v>1036341.66</v>
      </c>
      <c r="H196" s="60">
        <v>1853000</v>
      </c>
      <c r="I196" s="36">
        <v>1853000</v>
      </c>
      <c r="J196" s="262">
        <v>2762500</v>
      </c>
      <c r="K196" s="369">
        <v>1853000</v>
      </c>
      <c r="L196" s="331">
        <v>1853000</v>
      </c>
      <c r="M196" s="370">
        <v>2040000</v>
      </c>
      <c r="N196" s="269">
        <v>1853000</v>
      </c>
      <c r="O196" s="262">
        <v>2645000</v>
      </c>
    </row>
    <row r="197" spans="1:59" x14ac:dyDescent="0.25">
      <c r="A197" s="17" t="s">
        <v>114</v>
      </c>
      <c r="B197" s="196" t="s">
        <v>115</v>
      </c>
      <c r="C197" s="175">
        <v>7172482.8300000001</v>
      </c>
      <c r="D197" s="60">
        <v>23865460</v>
      </c>
      <c r="E197" s="99">
        <v>0</v>
      </c>
      <c r="F197" s="138">
        <v>14241750</v>
      </c>
      <c r="G197" s="99">
        <v>125535.7</v>
      </c>
      <c r="H197" s="60">
        <v>18700000</v>
      </c>
      <c r="I197" s="36">
        <v>27466050</v>
      </c>
      <c r="J197" s="262">
        <v>14043785</v>
      </c>
      <c r="K197" s="369">
        <v>16500000</v>
      </c>
      <c r="L197" s="331">
        <v>26643000</v>
      </c>
      <c r="M197" s="370">
        <v>16151734</v>
      </c>
      <c r="N197" s="269">
        <v>22163750</v>
      </c>
      <c r="O197" s="262">
        <v>16779000</v>
      </c>
    </row>
    <row r="198" spans="1:59" x14ac:dyDescent="0.25">
      <c r="A198" s="17" t="s">
        <v>71</v>
      </c>
      <c r="B198" s="196" t="s">
        <v>72</v>
      </c>
      <c r="C198" s="175">
        <v>337669.96</v>
      </c>
      <c r="D198" s="60">
        <v>297500</v>
      </c>
      <c r="E198" s="99">
        <v>93500</v>
      </c>
      <c r="F198" s="138">
        <v>850000</v>
      </c>
      <c r="G198" s="99">
        <v>865347.82</v>
      </c>
      <c r="H198" s="60">
        <v>297500</v>
      </c>
      <c r="I198" s="63">
        <v>680000</v>
      </c>
      <c r="J198" s="262">
        <v>1105000</v>
      </c>
      <c r="K198" s="329">
        <v>297500</v>
      </c>
      <c r="L198" s="374">
        <v>680000</v>
      </c>
      <c r="M198" s="370">
        <v>1105000</v>
      </c>
      <c r="N198" s="261">
        <v>680000</v>
      </c>
      <c r="O198" s="262">
        <v>1105000</v>
      </c>
      <c r="R198" s="203"/>
    </row>
    <row r="199" spans="1:59" x14ac:dyDescent="0.25">
      <c r="A199" s="16" t="s">
        <v>76</v>
      </c>
      <c r="B199" s="196" t="s">
        <v>77</v>
      </c>
      <c r="C199" s="98">
        <f>SUM(C201)</f>
        <v>7589.94</v>
      </c>
      <c r="D199" s="40">
        <f>SUM(D200:D201)</f>
        <v>85000</v>
      </c>
      <c r="E199" s="98">
        <f>SUM(E200:E201)</f>
        <v>1941.99</v>
      </c>
      <c r="F199" s="27">
        <f t="shared" ref="F199:O199" si="116">SUM(F200:F201)</f>
        <v>85000</v>
      </c>
      <c r="G199" s="83">
        <f t="shared" si="116"/>
        <v>44741.659999999996</v>
      </c>
      <c r="H199" s="40">
        <f t="shared" si="116"/>
        <v>85000</v>
      </c>
      <c r="I199" s="35">
        <f t="shared" si="116"/>
        <v>127500</v>
      </c>
      <c r="J199" s="256">
        <f t="shared" si="116"/>
        <v>127500</v>
      </c>
      <c r="K199" s="371">
        <f t="shared" si="116"/>
        <v>85000</v>
      </c>
      <c r="L199" s="328">
        <f t="shared" si="116"/>
        <v>127500</v>
      </c>
      <c r="M199" s="372">
        <f t="shared" si="116"/>
        <v>127500</v>
      </c>
      <c r="N199" s="256">
        <f t="shared" si="116"/>
        <v>127500</v>
      </c>
      <c r="O199" s="257">
        <f t="shared" si="116"/>
        <v>127500</v>
      </c>
    </row>
    <row r="200" spans="1:59" x14ac:dyDescent="0.25">
      <c r="A200" s="18" t="s">
        <v>80</v>
      </c>
      <c r="B200" s="197" t="s">
        <v>81</v>
      </c>
      <c r="C200" s="178"/>
      <c r="D200" s="69"/>
      <c r="E200" s="101"/>
      <c r="F200" s="151">
        <v>42500</v>
      </c>
      <c r="G200" s="101">
        <v>42741.27</v>
      </c>
      <c r="H200" s="69"/>
      <c r="I200" s="108">
        <v>42500</v>
      </c>
      <c r="J200" s="322">
        <v>42500</v>
      </c>
      <c r="K200" s="323"/>
      <c r="L200" s="325">
        <v>42500</v>
      </c>
      <c r="M200" s="376">
        <v>42500</v>
      </c>
      <c r="N200" s="353">
        <v>42500</v>
      </c>
      <c r="O200" s="322">
        <v>42500</v>
      </c>
    </row>
    <row r="201" spans="1:59" x14ac:dyDescent="0.25">
      <c r="A201" s="18" t="s">
        <v>82</v>
      </c>
      <c r="B201" s="197" t="s">
        <v>83</v>
      </c>
      <c r="C201" s="179">
        <v>7589.94</v>
      </c>
      <c r="D201" s="60">
        <v>85000</v>
      </c>
      <c r="E201" s="99">
        <v>1941.99</v>
      </c>
      <c r="F201" s="138">
        <v>42500</v>
      </c>
      <c r="G201" s="99">
        <v>2000.39</v>
      </c>
      <c r="H201" s="60">
        <v>85000</v>
      </c>
      <c r="I201" s="36">
        <v>85000</v>
      </c>
      <c r="J201" s="262">
        <v>85000</v>
      </c>
      <c r="K201" s="369">
        <v>85000</v>
      </c>
      <c r="L201" s="331">
        <v>85000</v>
      </c>
      <c r="M201" s="370">
        <v>85000</v>
      </c>
      <c r="N201" s="269">
        <v>85000</v>
      </c>
      <c r="O201" s="262">
        <v>85000</v>
      </c>
    </row>
    <row r="202" spans="1:59" x14ac:dyDescent="0.25">
      <c r="A202" s="52" t="s">
        <v>157</v>
      </c>
      <c r="B202" s="189" t="s">
        <v>167</v>
      </c>
      <c r="C202" s="180"/>
      <c r="D202" s="67"/>
      <c r="E202" s="100"/>
      <c r="F202" s="54">
        <f t="shared" ref="F202:G202" si="117">F203+F208</f>
        <v>6480158</v>
      </c>
      <c r="G202" s="148">
        <f t="shared" si="117"/>
        <v>260277.71000000002</v>
      </c>
      <c r="H202" s="67">
        <f>H203+H208</f>
        <v>1665085</v>
      </c>
      <c r="I202" s="79">
        <f>I203+I208</f>
        <v>5990010</v>
      </c>
      <c r="J202" s="270">
        <f>J203+J208</f>
        <v>10309063</v>
      </c>
      <c r="K202" s="271">
        <f t="shared" ref="K202:O202" si="118">K203+K208</f>
        <v>1026885</v>
      </c>
      <c r="L202" s="334">
        <f t="shared" si="118"/>
        <v>1381260</v>
      </c>
      <c r="M202" s="373">
        <f>M203+M208</f>
        <v>3766562</v>
      </c>
      <c r="N202" s="265">
        <f t="shared" ref="N202" si="119">N203+N208</f>
        <v>4101260</v>
      </c>
      <c r="O202" s="270">
        <f t="shared" si="118"/>
        <v>4266522</v>
      </c>
    </row>
    <row r="203" spans="1:59" x14ac:dyDescent="0.25">
      <c r="A203" s="16" t="s">
        <v>103</v>
      </c>
      <c r="B203" s="196" t="s">
        <v>104</v>
      </c>
      <c r="C203" s="98">
        <f>SUM(C204:C205)</f>
        <v>7132178.4800000004</v>
      </c>
      <c r="D203" s="40">
        <f>SUM(D204:D207)</f>
        <v>2628500</v>
      </c>
      <c r="E203" s="98">
        <f>SUM(E204:E207)</f>
        <v>1207842.54</v>
      </c>
      <c r="F203" s="27">
        <f t="shared" ref="F203:O203" si="120">SUM(F204:F207)</f>
        <v>6480158</v>
      </c>
      <c r="G203" s="83">
        <f t="shared" si="120"/>
        <v>260277.71000000002</v>
      </c>
      <c r="H203" s="40">
        <f t="shared" si="120"/>
        <v>1665085</v>
      </c>
      <c r="I203" s="35">
        <f t="shared" si="120"/>
        <v>5990010</v>
      </c>
      <c r="J203" s="257">
        <f t="shared" si="120"/>
        <v>10309063</v>
      </c>
      <c r="K203" s="371">
        <f t="shared" si="120"/>
        <v>1026885</v>
      </c>
      <c r="L203" s="328">
        <f t="shared" si="120"/>
        <v>1381260</v>
      </c>
      <c r="M203" s="375">
        <f t="shared" si="120"/>
        <v>3766562</v>
      </c>
      <c r="N203" s="256">
        <f t="shared" si="120"/>
        <v>1381260</v>
      </c>
      <c r="O203" s="257">
        <f t="shared" si="120"/>
        <v>4266522</v>
      </c>
    </row>
    <row r="204" spans="1:59" x14ac:dyDescent="0.25">
      <c r="A204" s="18" t="s">
        <v>105</v>
      </c>
      <c r="B204" s="196" t="s">
        <v>106</v>
      </c>
      <c r="C204" s="175">
        <v>7132178.4800000004</v>
      </c>
      <c r="D204" s="60">
        <v>2404000</v>
      </c>
      <c r="E204" s="99">
        <v>1085726.23</v>
      </c>
      <c r="F204" s="138">
        <v>6140370</v>
      </c>
      <c r="G204" s="99">
        <v>102319.82</v>
      </c>
      <c r="H204" s="60">
        <v>1608200</v>
      </c>
      <c r="I204" s="36">
        <f>4520000</f>
        <v>4520000</v>
      </c>
      <c r="J204" s="262">
        <v>9696000</v>
      </c>
      <c r="K204" s="369">
        <v>970000</v>
      </c>
      <c r="L204" s="331">
        <v>230000</v>
      </c>
      <c r="M204" s="370">
        <v>3153500</v>
      </c>
      <c r="N204" s="269">
        <f>230000</f>
        <v>230000</v>
      </c>
      <c r="O204" s="262">
        <v>3228460</v>
      </c>
    </row>
    <row r="205" spans="1:59" x14ac:dyDescent="0.25">
      <c r="A205" s="18" t="s">
        <v>120</v>
      </c>
      <c r="B205" s="196" t="s">
        <v>121</v>
      </c>
      <c r="C205" s="175">
        <v>0</v>
      </c>
      <c r="D205" s="60">
        <v>10200</v>
      </c>
      <c r="E205" s="99">
        <v>0</v>
      </c>
      <c r="F205" s="138">
        <v>9563</v>
      </c>
      <c r="G205" s="99">
        <v>0</v>
      </c>
      <c r="H205" s="60">
        <v>3190</v>
      </c>
      <c r="I205" s="36">
        <v>3190</v>
      </c>
      <c r="J205" s="262">
        <v>9563</v>
      </c>
      <c r="K205" s="369">
        <v>3190</v>
      </c>
      <c r="L205" s="331">
        <v>3190</v>
      </c>
      <c r="M205" s="370">
        <v>9562</v>
      </c>
      <c r="N205" s="269">
        <v>3190</v>
      </c>
      <c r="O205" s="262">
        <v>9562</v>
      </c>
    </row>
    <row r="206" spans="1:59" x14ac:dyDescent="0.25">
      <c r="A206" s="18">
        <v>4223</v>
      </c>
      <c r="B206" s="196" t="s">
        <v>122</v>
      </c>
      <c r="C206" s="175">
        <v>0</v>
      </c>
      <c r="D206" s="60">
        <v>1800</v>
      </c>
      <c r="E206" s="99">
        <v>0</v>
      </c>
      <c r="F206" s="138">
        <v>850</v>
      </c>
      <c r="G206" s="99">
        <v>0</v>
      </c>
      <c r="H206" s="60">
        <v>570</v>
      </c>
      <c r="I206" s="84">
        <v>570</v>
      </c>
      <c r="J206" s="262">
        <v>8500</v>
      </c>
      <c r="K206" s="261">
        <v>570</v>
      </c>
      <c r="L206" s="261">
        <v>570</v>
      </c>
      <c r="M206" s="350">
        <v>8500</v>
      </c>
      <c r="N206" s="269">
        <v>570</v>
      </c>
      <c r="O206" s="262">
        <v>8500</v>
      </c>
    </row>
    <row r="207" spans="1:59" s="74" customFormat="1" x14ac:dyDescent="0.25">
      <c r="A207" s="18" t="s">
        <v>147</v>
      </c>
      <c r="B207" s="196" t="s">
        <v>141</v>
      </c>
      <c r="C207" s="175">
        <v>36655.5</v>
      </c>
      <c r="D207" s="60">
        <v>212500</v>
      </c>
      <c r="E207" s="99">
        <v>122116.31</v>
      </c>
      <c r="F207" s="138">
        <v>329375</v>
      </c>
      <c r="G207" s="99">
        <v>157957.89000000001</v>
      </c>
      <c r="H207" s="60">
        <v>53125</v>
      </c>
      <c r="I207" s="36">
        <v>1466250</v>
      </c>
      <c r="J207" s="262">
        <v>595000</v>
      </c>
      <c r="K207" s="369">
        <v>53125</v>
      </c>
      <c r="L207" s="331">
        <v>1147500</v>
      </c>
      <c r="M207" s="370">
        <v>595000</v>
      </c>
      <c r="N207" s="269">
        <v>1147500</v>
      </c>
      <c r="O207" s="262">
        <v>1020000</v>
      </c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</row>
    <row r="208" spans="1:59" x14ac:dyDescent="0.25">
      <c r="A208" s="16" t="s">
        <v>107</v>
      </c>
      <c r="B208" s="198" t="s">
        <v>108</v>
      </c>
      <c r="C208" s="143">
        <f>SUM(C209)</f>
        <v>207714.5</v>
      </c>
      <c r="D208" s="40">
        <f t="shared" ref="D208:O208" si="121">SUM(D209)</f>
        <v>2720000</v>
      </c>
      <c r="E208" s="98">
        <f t="shared" si="121"/>
        <v>0</v>
      </c>
      <c r="F208" s="27">
        <f t="shared" si="121"/>
        <v>0</v>
      </c>
      <c r="G208" s="83">
        <f t="shared" si="121"/>
        <v>0</v>
      </c>
      <c r="H208" s="40">
        <f>SUM(H209)</f>
        <v>0</v>
      </c>
      <c r="I208" s="35">
        <f t="shared" si="121"/>
        <v>0</v>
      </c>
      <c r="J208" s="257">
        <f>SUM(J209)</f>
        <v>0</v>
      </c>
      <c r="K208" s="371">
        <f t="shared" si="121"/>
        <v>0</v>
      </c>
      <c r="L208" s="328">
        <f t="shared" si="121"/>
        <v>0</v>
      </c>
      <c r="M208" s="375">
        <f>SUM(M209)</f>
        <v>0</v>
      </c>
      <c r="N208" s="256">
        <f t="shared" si="121"/>
        <v>2720000</v>
      </c>
      <c r="O208" s="257">
        <f t="shared" si="121"/>
        <v>0</v>
      </c>
    </row>
    <row r="209" spans="1:15" ht="15.75" thickBot="1" x14ac:dyDescent="0.3">
      <c r="A209" s="18" t="s">
        <v>146</v>
      </c>
      <c r="B209" s="197" t="s">
        <v>109</v>
      </c>
      <c r="C209" s="179">
        <v>207714.5</v>
      </c>
      <c r="D209" s="61">
        <v>2720000</v>
      </c>
      <c r="E209" s="95">
        <v>0</v>
      </c>
      <c r="F209" s="152">
        <v>0</v>
      </c>
      <c r="G209" s="95">
        <v>0</v>
      </c>
      <c r="H209" s="61"/>
      <c r="I209" s="37">
        <v>0</v>
      </c>
      <c r="J209" s="299">
        <v>0</v>
      </c>
      <c r="K209" s="335">
        <v>0</v>
      </c>
      <c r="L209" s="337">
        <v>0</v>
      </c>
      <c r="M209" s="377">
        <v>0</v>
      </c>
      <c r="N209" s="300">
        <v>2720000</v>
      </c>
      <c r="O209" s="299">
        <v>0</v>
      </c>
    </row>
    <row r="210" spans="1:15" ht="15.75" thickBot="1" x14ac:dyDescent="0.3">
      <c r="A210" s="14" t="s">
        <v>133</v>
      </c>
      <c r="B210" s="200" t="s">
        <v>142</v>
      </c>
      <c r="C210" s="144">
        <f>C211</f>
        <v>662782.77</v>
      </c>
      <c r="D210" s="94">
        <f t="shared" ref="D210:H210" si="122">D211</f>
        <v>2194183</v>
      </c>
      <c r="E210" s="144">
        <f t="shared" si="122"/>
        <v>0</v>
      </c>
      <c r="F210" s="89">
        <f t="shared" si="122"/>
        <v>1385600</v>
      </c>
      <c r="G210" s="89">
        <f t="shared" si="122"/>
        <v>929817.55</v>
      </c>
      <c r="H210" s="89">
        <f t="shared" si="122"/>
        <v>2194183</v>
      </c>
      <c r="I210" s="89">
        <f>I211</f>
        <v>2623900</v>
      </c>
      <c r="J210" s="378">
        <f>J211</f>
        <v>2280950</v>
      </c>
      <c r="K210" s="379">
        <f t="shared" ref="K210:O210" si="123">K211</f>
        <v>2194183</v>
      </c>
      <c r="L210" s="380">
        <f t="shared" si="123"/>
        <v>2501400</v>
      </c>
      <c r="M210" s="381">
        <f>M211</f>
        <v>2686420</v>
      </c>
      <c r="N210" s="382">
        <f t="shared" si="123"/>
        <v>2501400</v>
      </c>
      <c r="O210" s="383">
        <f t="shared" si="123"/>
        <v>2614600</v>
      </c>
    </row>
    <row r="211" spans="1:15" ht="22.5" x14ac:dyDescent="0.25">
      <c r="A211" s="19" t="s">
        <v>134</v>
      </c>
      <c r="B211" s="195" t="s">
        <v>143</v>
      </c>
      <c r="C211" s="90">
        <f>SUM(C212)</f>
        <v>662782.77</v>
      </c>
      <c r="D211" s="64">
        <f>D212+D235</f>
        <v>2194183</v>
      </c>
      <c r="E211" s="90">
        <f t="shared" ref="E211" si="124">SUM(E212)</f>
        <v>0</v>
      </c>
      <c r="F211" s="213">
        <f t="shared" ref="F211:O211" si="125">F212+F235</f>
        <v>1385600</v>
      </c>
      <c r="G211" s="145">
        <f t="shared" si="125"/>
        <v>929817.55</v>
      </c>
      <c r="H211" s="64">
        <f t="shared" si="125"/>
        <v>2194183</v>
      </c>
      <c r="I211" s="109">
        <f t="shared" si="125"/>
        <v>2623900</v>
      </c>
      <c r="J211" s="346">
        <f t="shared" si="125"/>
        <v>2280950</v>
      </c>
      <c r="K211" s="384">
        <f t="shared" si="125"/>
        <v>2194183</v>
      </c>
      <c r="L211" s="385">
        <f t="shared" si="125"/>
        <v>2501400</v>
      </c>
      <c r="M211" s="386">
        <f t="shared" si="125"/>
        <v>2686420</v>
      </c>
      <c r="N211" s="345">
        <f t="shared" si="125"/>
        <v>2501400</v>
      </c>
      <c r="O211" s="346">
        <f t="shared" si="125"/>
        <v>2614600</v>
      </c>
    </row>
    <row r="212" spans="1:15" x14ac:dyDescent="0.25">
      <c r="A212" s="20" t="s">
        <v>150</v>
      </c>
      <c r="B212" s="184" t="s">
        <v>151</v>
      </c>
      <c r="C212" s="91">
        <f>C214+C219+C223+C227+C233</f>
        <v>662782.77</v>
      </c>
      <c r="D212" s="65">
        <f>D214+D219+D223+D227+D233</f>
        <v>590989</v>
      </c>
      <c r="E212" s="91">
        <f>E214+E219+E223+E227+E233</f>
        <v>0</v>
      </c>
      <c r="F212" s="208">
        <f>F213+F222+F232</f>
        <v>387400</v>
      </c>
      <c r="G212" s="146">
        <f>G213+G222+G232</f>
        <v>232454.38000000003</v>
      </c>
      <c r="H212" s="65">
        <f>H213+H222+H232</f>
        <v>590989</v>
      </c>
      <c r="I212" s="110">
        <f>I214+I219+I223+I227+I233</f>
        <v>655250</v>
      </c>
      <c r="J212" s="338">
        <f>J213+J222+J232</f>
        <v>684000</v>
      </c>
      <c r="K212" s="387">
        <f>K214+K219+K223+K227+K233</f>
        <v>590989</v>
      </c>
      <c r="L212" s="388">
        <f>L214+L219+L223+L227+L233</f>
        <v>624625</v>
      </c>
      <c r="M212" s="389">
        <f>M213+M222+M232</f>
        <v>671595</v>
      </c>
      <c r="N212" s="339">
        <f>N214+N219+N223+N227+N233</f>
        <v>624625</v>
      </c>
      <c r="O212" s="338">
        <f>O213+O222+O232</f>
        <v>659275</v>
      </c>
    </row>
    <row r="213" spans="1:15" x14ac:dyDescent="0.25">
      <c r="A213" s="73" t="s">
        <v>7</v>
      </c>
      <c r="B213" s="189" t="s">
        <v>165</v>
      </c>
      <c r="C213" s="92"/>
      <c r="D213" s="66"/>
      <c r="E213" s="92"/>
      <c r="F213" s="209">
        <f t="shared" ref="F213:G213" si="126">F214+F219</f>
        <v>342775</v>
      </c>
      <c r="G213" s="147">
        <f t="shared" si="126"/>
        <v>224704.96000000002</v>
      </c>
      <c r="H213" s="66">
        <f>H214+H219</f>
        <v>482864</v>
      </c>
      <c r="I213" s="111">
        <f>I214+I219</f>
        <v>490000</v>
      </c>
      <c r="J213" s="348">
        <f>J214+J217+J219</f>
        <v>481500</v>
      </c>
      <c r="K213" s="390">
        <v>482864</v>
      </c>
      <c r="L213" s="391">
        <f t="shared" ref="L213" si="127">L214+L219</f>
        <v>490000</v>
      </c>
      <c r="M213" s="392">
        <f>M214+M219+M217</f>
        <v>514275</v>
      </c>
      <c r="N213" s="347">
        <f t="shared" ref="N213" si="128">N214+N219</f>
        <v>490000</v>
      </c>
      <c r="O213" s="348">
        <f>O214+O219+O217</f>
        <v>514275</v>
      </c>
    </row>
    <row r="214" spans="1:15" x14ac:dyDescent="0.25">
      <c r="A214" s="21" t="s">
        <v>19</v>
      </c>
      <c r="B214" s="196" t="s">
        <v>20</v>
      </c>
      <c r="C214" s="98">
        <f>C215</f>
        <v>500068.91</v>
      </c>
      <c r="D214" s="40">
        <f t="shared" ref="D214:E214" si="129">D215</f>
        <v>412000</v>
      </c>
      <c r="E214" s="98">
        <f t="shared" si="129"/>
        <v>0</v>
      </c>
      <c r="F214" s="27">
        <f t="shared" ref="F214:O214" si="130">SUM(F215:F216)</f>
        <v>308000</v>
      </c>
      <c r="G214" s="83">
        <f t="shared" si="130"/>
        <v>196571.57</v>
      </c>
      <c r="H214" s="40">
        <f t="shared" si="130"/>
        <v>412000</v>
      </c>
      <c r="I214" s="35">
        <f t="shared" si="130"/>
        <v>422000</v>
      </c>
      <c r="J214" s="257">
        <f t="shared" si="130"/>
        <v>410000</v>
      </c>
      <c r="K214" s="371">
        <f t="shared" si="130"/>
        <v>412000</v>
      </c>
      <c r="L214" s="328">
        <f t="shared" si="130"/>
        <v>422000</v>
      </c>
      <c r="M214" s="375">
        <f t="shared" si="130"/>
        <v>435000</v>
      </c>
      <c r="N214" s="256">
        <f t="shared" si="130"/>
        <v>422000</v>
      </c>
      <c r="O214" s="257">
        <f t="shared" si="130"/>
        <v>435000</v>
      </c>
    </row>
    <row r="215" spans="1:15" x14ac:dyDescent="0.25">
      <c r="A215" s="22" t="s">
        <v>21</v>
      </c>
      <c r="B215" s="196" t="s">
        <v>22</v>
      </c>
      <c r="C215" s="175">
        <v>500068.91</v>
      </c>
      <c r="D215" s="60">
        <v>412000</v>
      </c>
      <c r="E215" s="99"/>
      <c r="F215" s="138">
        <v>305000</v>
      </c>
      <c r="G215" s="99">
        <v>196571.57</v>
      </c>
      <c r="H215" s="60">
        <v>412000</v>
      </c>
      <c r="I215" s="36">
        <v>412000</v>
      </c>
      <c r="J215" s="262">
        <v>400000</v>
      </c>
      <c r="K215" s="369">
        <v>412000</v>
      </c>
      <c r="L215" s="331">
        <v>412000</v>
      </c>
      <c r="M215" s="370">
        <v>425000</v>
      </c>
      <c r="N215" s="269">
        <v>412000</v>
      </c>
      <c r="O215" s="262">
        <v>425000</v>
      </c>
    </row>
    <row r="216" spans="1:15" x14ac:dyDescent="0.25">
      <c r="A216" s="22" t="s">
        <v>23</v>
      </c>
      <c r="B216" s="196" t="s">
        <v>24</v>
      </c>
      <c r="C216" s="175"/>
      <c r="D216" s="60"/>
      <c r="E216" s="99"/>
      <c r="F216" s="138">
        <v>3000</v>
      </c>
      <c r="G216" s="99">
        <v>0</v>
      </c>
      <c r="H216" s="60"/>
      <c r="I216" s="36">
        <v>10000</v>
      </c>
      <c r="J216" s="262">
        <v>10000</v>
      </c>
      <c r="K216" s="369"/>
      <c r="L216" s="331">
        <v>10000</v>
      </c>
      <c r="M216" s="370">
        <v>10000</v>
      </c>
      <c r="N216" s="269">
        <v>10000</v>
      </c>
      <c r="O216" s="262">
        <v>10000</v>
      </c>
    </row>
    <row r="217" spans="1:15" x14ac:dyDescent="0.25">
      <c r="A217" s="16" t="s">
        <v>25</v>
      </c>
      <c r="B217" s="196" t="s">
        <v>26</v>
      </c>
      <c r="C217" s="98">
        <f>SUM(C218)</f>
        <v>420000</v>
      </c>
      <c r="D217" s="40">
        <f t="shared" ref="D217:O217" si="131">SUM(D218)</f>
        <v>187000</v>
      </c>
      <c r="E217" s="98">
        <f t="shared" si="131"/>
        <v>2125</v>
      </c>
      <c r="F217" s="27">
        <f t="shared" si="131"/>
        <v>0</v>
      </c>
      <c r="G217" s="83">
        <f t="shared" si="131"/>
        <v>0</v>
      </c>
      <c r="H217" s="40">
        <f>SUM(H218)</f>
        <v>187000</v>
      </c>
      <c r="I217" s="35">
        <f t="shared" si="131"/>
        <v>187000</v>
      </c>
      <c r="J217" s="257">
        <f>SUM(J218)</f>
        <v>7500</v>
      </c>
      <c r="K217" s="371">
        <f t="shared" si="131"/>
        <v>187000</v>
      </c>
      <c r="L217" s="328">
        <f t="shared" si="131"/>
        <v>187000</v>
      </c>
      <c r="M217" s="372">
        <f>SUM(M218)</f>
        <v>7500</v>
      </c>
      <c r="N217" s="256">
        <f t="shared" si="131"/>
        <v>187000</v>
      </c>
      <c r="O217" s="257">
        <f t="shared" si="131"/>
        <v>7500</v>
      </c>
    </row>
    <row r="218" spans="1:15" x14ac:dyDescent="0.25">
      <c r="A218" s="17" t="s">
        <v>27</v>
      </c>
      <c r="B218" s="196" t="s">
        <v>26</v>
      </c>
      <c r="C218" s="175">
        <f>195000+225000</f>
        <v>420000</v>
      </c>
      <c r="D218" s="60">
        <v>187000</v>
      </c>
      <c r="E218" s="99">
        <v>2125</v>
      </c>
      <c r="F218" s="138">
        <v>0</v>
      </c>
      <c r="G218" s="99">
        <v>0</v>
      </c>
      <c r="H218" s="60">
        <v>187000</v>
      </c>
      <c r="I218" s="36">
        <v>187000</v>
      </c>
      <c r="J218" s="262">
        <v>7500</v>
      </c>
      <c r="K218" s="369">
        <v>187000</v>
      </c>
      <c r="L218" s="331">
        <v>187000</v>
      </c>
      <c r="M218" s="370">
        <v>7500</v>
      </c>
      <c r="N218" s="269">
        <v>187000</v>
      </c>
      <c r="O218" s="262">
        <v>7500</v>
      </c>
    </row>
    <row r="219" spans="1:15" x14ac:dyDescent="0.25">
      <c r="A219" s="21" t="s">
        <v>28</v>
      </c>
      <c r="B219" s="196" t="s">
        <v>29</v>
      </c>
      <c r="C219" s="98">
        <f>C220+C221</f>
        <v>75033.63</v>
      </c>
      <c r="D219" s="40">
        <f>SUM(D220:D221)</f>
        <v>70864</v>
      </c>
      <c r="E219" s="98">
        <f t="shared" ref="E219" si="132">E220+E221</f>
        <v>0</v>
      </c>
      <c r="F219" s="27">
        <f t="shared" ref="F219:O219" si="133">SUM(F220:F221)</f>
        <v>34775</v>
      </c>
      <c r="G219" s="83">
        <f t="shared" si="133"/>
        <v>28133.39</v>
      </c>
      <c r="H219" s="40">
        <f t="shared" si="133"/>
        <v>70864</v>
      </c>
      <c r="I219" s="35">
        <f t="shared" si="133"/>
        <v>68000</v>
      </c>
      <c r="J219" s="257">
        <f t="shared" si="133"/>
        <v>64000</v>
      </c>
      <c r="K219" s="371">
        <f t="shared" si="133"/>
        <v>70864</v>
      </c>
      <c r="L219" s="328">
        <f t="shared" si="133"/>
        <v>68000</v>
      </c>
      <c r="M219" s="375">
        <f t="shared" si="133"/>
        <v>71775</v>
      </c>
      <c r="N219" s="256">
        <f t="shared" si="133"/>
        <v>68000</v>
      </c>
      <c r="O219" s="257">
        <f t="shared" si="133"/>
        <v>71775</v>
      </c>
    </row>
    <row r="220" spans="1:15" x14ac:dyDescent="0.25">
      <c r="A220" s="22" t="s">
        <v>30</v>
      </c>
      <c r="B220" s="196" t="s">
        <v>31</v>
      </c>
      <c r="C220" s="175">
        <v>67617.53</v>
      </c>
      <c r="D220" s="60">
        <v>63860</v>
      </c>
      <c r="E220" s="99"/>
      <c r="F220" s="138">
        <v>34775</v>
      </c>
      <c r="G220" s="99">
        <v>28133.39</v>
      </c>
      <c r="H220" s="60">
        <v>63860</v>
      </c>
      <c r="I220" s="36">
        <v>68000</v>
      </c>
      <c r="J220" s="262">
        <v>64000</v>
      </c>
      <c r="K220" s="369">
        <v>63860</v>
      </c>
      <c r="L220" s="331">
        <v>68000</v>
      </c>
      <c r="M220" s="370">
        <f>M214*16.5/100</f>
        <v>71775</v>
      </c>
      <c r="N220" s="269">
        <v>68000</v>
      </c>
      <c r="O220" s="262">
        <v>71775</v>
      </c>
    </row>
    <row r="221" spans="1:15" x14ac:dyDescent="0.25">
      <c r="A221" s="22" t="s">
        <v>32</v>
      </c>
      <c r="B221" s="196" t="s">
        <v>140</v>
      </c>
      <c r="C221" s="175">
        <v>7416.1</v>
      </c>
      <c r="D221" s="60">
        <v>7004</v>
      </c>
      <c r="E221" s="99"/>
      <c r="F221" s="138">
        <v>0</v>
      </c>
      <c r="G221" s="99">
        <v>0</v>
      </c>
      <c r="H221" s="60">
        <v>7004</v>
      </c>
      <c r="I221" s="36">
        <v>0</v>
      </c>
      <c r="J221" s="262">
        <v>0</v>
      </c>
      <c r="K221" s="369">
        <v>7004</v>
      </c>
      <c r="L221" s="331">
        <v>0</v>
      </c>
      <c r="M221" s="370"/>
      <c r="N221" s="269">
        <v>0</v>
      </c>
      <c r="O221" s="262">
        <v>0</v>
      </c>
    </row>
    <row r="222" spans="1:15" x14ac:dyDescent="0.25">
      <c r="A222" s="71">
        <v>32</v>
      </c>
      <c r="B222" s="201" t="s">
        <v>164</v>
      </c>
      <c r="C222" s="181"/>
      <c r="D222" s="67"/>
      <c r="E222" s="100"/>
      <c r="F222" s="54">
        <f t="shared" ref="F222:G222" si="134">F223+F227</f>
        <v>44625</v>
      </c>
      <c r="G222" s="148">
        <f t="shared" si="134"/>
        <v>7749.42</v>
      </c>
      <c r="H222" s="67">
        <f>H223+H227</f>
        <v>106250</v>
      </c>
      <c r="I222" s="79">
        <f>I223+I227</f>
        <v>163375</v>
      </c>
      <c r="J222" s="270">
        <f>J223+J227</f>
        <v>165000</v>
      </c>
      <c r="K222" s="271">
        <v>106250</v>
      </c>
      <c r="L222" s="334">
        <f t="shared" ref="L222" si="135">L223+L227</f>
        <v>132750</v>
      </c>
      <c r="M222" s="373">
        <f>M223+M227</f>
        <v>152320</v>
      </c>
      <c r="N222" s="265">
        <f t="shared" ref="N222:O222" si="136">N223+N227</f>
        <v>132750</v>
      </c>
      <c r="O222" s="270">
        <f t="shared" si="136"/>
        <v>140000</v>
      </c>
    </row>
    <row r="223" spans="1:15" x14ac:dyDescent="0.25">
      <c r="A223" s="16" t="s">
        <v>33</v>
      </c>
      <c r="B223" s="198" t="s">
        <v>34</v>
      </c>
      <c r="C223" s="143">
        <f>C224+C226</f>
        <v>65337.73</v>
      </c>
      <c r="D223" s="40">
        <f>D224+D226</f>
        <v>50000</v>
      </c>
      <c r="E223" s="98">
        <f t="shared" ref="E223" si="137">E224+E226</f>
        <v>0</v>
      </c>
      <c r="F223" s="27">
        <f t="shared" ref="F223:G223" si="138">SUM(F224:F226)</f>
        <v>31875</v>
      </c>
      <c r="G223" s="83">
        <f t="shared" si="138"/>
        <v>1711.93</v>
      </c>
      <c r="H223" s="40">
        <f>SUM(H224:H226)</f>
        <v>50000</v>
      </c>
      <c r="I223" s="35">
        <f>I224+I226+I225</f>
        <v>96875</v>
      </c>
      <c r="J223" s="257">
        <f>SUM(J224:J226)</f>
        <v>113750</v>
      </c>
      <c r="K223" s="371">
        <f>K224+K226+K225</f>
        <v>50000</v>
      </c>
      <c r="L223" s="328">
        <f>L224+L226+L225</f>
        <v>68750</v>
      </c>
      <c r="M223" s="375">
        <f>SUM(M224:M226)</f>
        <v>106070</v>
      </c>
      <c r="N223" s="256">
        <f>N224+N226+N225</f>
        <v>68750</v>
      </c>
      <c r="O223" s="257">
        <f>O224+O226+O225</f>
        <v>68750</v>
      </c>
    </row>
    <row r="224" spans="1:15" x14ac:dyDescent="0.25">
      <c r="A224" s="17" t="s">
        <v>35</v>
      </c>
      <c r="B224" s="196" t="s">
        <v>36</v>
      </c>
      <c r="C224" s="175">
        <v>50487.73</v>
      </c>
      <c r="D224" s="60">
        <v>25000</v>
      </c>
      <c r="E224" s="99"/>
      <c r="F224" s="138">
        <v>15625</v>
      </c>
      <c r="G224" s="99">
        <v>6.99</v>
      </c>
      <c r="H224" s="60">
        <v>25000</v>
      </c>
      <c r="I224" s="36">
        <v>40625</v>
      </c>
      <c r="J224" s="262">
        <v>70000</v>
      </c>
      <c r="K224" s="369">
        <v>25000</v>
      </c>
      <c r="L224" s="331">
        <v>25000</v>
      </c>
      <c r="M224" s="370">
        <v>62320</v>
      </c>
      <c r="N224" s="269">
        <v>25000</v>
      </c>
      <c r="O224" s="262">
        <v>25000</v>
      </c>
    </row>
    <row r="225" spans="1:15" x14ac:dyDescent="0.25">
      <c r="A225" s="17" t="s">
        <v>37</v>
      </c>
      <c r="B225" s="196" t="s">
        <v>38</v>
      </c>
      <c r="C225" s="175"/>
      <c r="D225" s="60"/>
      <c r="E225" s="99"/>
      <c r="F225" s="138">
        <v>6250</v>
      </c>
      <c r="G225" s="99">
        <v>1704.94</v>
      </c>
      <c r="H225" s="60"/>
      <c r="I225" s="36">
        <v>18750</v>
      </c>
      <c r="J225" s="262">
        <v>18750</v>
      </c>
      <c r="K225" s="369"/>
      <c r="L225" s="331">
        <v>18750</v>
      </c>
      <c r="M225" s="370">
        <v>18750</v>
      </c>
      <c r="N225" s="269">
        <v>18750</v>
      </c>
      <c r="O225" s="262">
        <v>18750</v>
      </c>
    </row>
    <row r="226" spans="1:15" x14ac:dyDescent="0.25">
      <c r="A226" s="17" t="s">
        <v>39</v>
      </c>
      <c r="B226" s="196" t="s">
        <v>40</v>
      </c>
      <c r="C226" s="175">
        <v>14850</v>
      </c>
      <c r="D226" s="60">
        <v>25000</v>
      </c>
      <c r="E226" s="99"/>
      <c r="F226" s="138">
        <v>10000</v>
      </c>
      <c r="G226" s="99">
        <v>0</v>
      </c>
      <c r="H226" s="60">
        <v>25000</v>
      </c>
      <c r="I226" s="36">
        <v>37500</v>
      </c>
      <c r="J226" s="262">
        <v>25000</v>
      </c>
      <c r="K226" s="369">
        <v>25000</v>
      </c>
      <c r="L226" s="331">
        <v>25000</v>
      </c>
      <c r="M226" s="370">
        <v>25000</v>
      </c>
      <c r="N226" s="269">
        <v>25000</v>
      </c>
      <c r="O226" s="262">
        <v>25000</v>
      </c>
    </row>
    <row r="227" spans="1:15" x14ac:dyDescent="0.25">
      <c r="A227" s="16" t="s">
        <v>55</v>
      </c>
      <c r="B227" s="196" t="s">
        <v>56</v>
      </c>
      <c r="C227" s="98">
        <f>C231</f>
        <v>22342.5</v>
      </c>
      <c r="D227" s="40">
        <f>SUM(D230:D231)</f>
        <v>56250</v>
      </c>
      <c r="E227" s="98">
        <f t="shared" ref="E227" si="139">E231</f>
        <v>0</v>
      </c>
      <c r="F227" s="27">
        <f>SUM(F228:F231)</f>
        <v>12750</v>
      </c>
      <c r="G227" s="83">
        <f>SUM(G228:G231)</f>
        <v>6037.49</v>
      </c>
      <c r="H227" s="40">
        <f>SUM(H229:H231)</f>
        <v>56250</v>
      </c>
      <c r="I227" s="35">
        <f>SUM(I229:I231)</f>
        <v>66500</v>
      </c>
      <c r="J227" s="257">
        <f>SUM(J228:J231)</f>
        <v>51250</v>
      </c>
      <c r="K227" s="371">
        <f>SUM(K229:K231)</f>
        <v>56250</v>
      </c>
      <c r="L227" s="328">
        <f>SUM(L229:L231)</f>
        <v>64000</v>
      </c>
      <c r="M227" s="375">
        <f>SUM(M228:M231)</f>
        <v>46250</v>
      </c>
      <c r="N227" s="256">
        <f>SUM(N229:N231)</f>
        <v>64000</v>
      </c>
      <c r="O227" s="257">
        <f>SUM(O228:O231)</f>
        <v>71250</v>
      </c>
    </row>
    <row r="228" spans="1:15" x14ac:dyDescent="0.25">
      <c r="A228" s="16" t="s">
        <v>57</v>
      </c>
      <c r="B228" s="196" t="s">
        <v>58</v>
      </c>
      <c r="C228" s="98"/>
      <c r="D228" s="40"/>
      <c r="E228" s="98"/>
      <c r="F228" s="108">
        <v>250</v>
      </c>
      <c r="G228" s="101">
        <v>0</v>
      </c>
      <c r="H228" s="69">
        <v>0</v>
      </c>
      <c r="I228" s="108">
        <v>0</v>
      </c>
      <c r="J228" s="322">
        <v>1250</v>
      </c>
      <c r="K228" s="323">
        <v>0</v>
      </c>
      <c r="L228" s="325">
        <v>0</v>
      </c>
      <c r="M228" s="376">
        <v>1250</v>
      </c>
      <c r="N228" s="353"/>
      <c r="O228" s="322">
        <v>1250</v>
      </c>
    </row>
    <row r="229" spans="1:15" x14ac:dyDescent="0.25">
      <c r="A229" s="16" t="s">
        <v>61</v>
      </c>
      <c r="B229" s="196" t="s">
        <v>62</v>
      </c>
      <c r="C229" s="101"/>
      <c r="D229" s="69">
        <v>0</v>
      </c>
      <c r="E229" s="101">
        <v>1421.87</v>
      </c>
      <c r="F229" s="151">
        <v>0</v>
      </c>
      <c r="G229" s="101">
        <v>3662.49</v>
      </c>
      <c r="H229" s="69"/>
      <c r="I229" s="108">
        <v>1500</v>
      </c>
      <c r="J229" s="322">
        <v>7500</v>
      </c>
      <c r="K229" s="323"/>
      <c r="L229" s="325">
        <v>1500</v>
      </c>
      <c r="M229" s="376">
        <v>7500</v>
      </c>
      <c r="N229" s="353">
        <v>1500</v>
      </c>
      <c r="O229" s="322">
        <v>7500</v>
      </c>
    </row>
    <row r="230" spans="1:15" x14ac:dyDescent="0.25">
      <c r="A230" s="16" t="s">
        <v>65</v>
      </c>
      <c r="B230" s="196" t="s">
        <v>66</v>
      </c>
      <c r="C230" s="101"/>
      <c r="D230" s="60">
        <v>25000</v>
      </c>
      <c r="E230" s="99"/>
      <c r="F230" s="138">
        <v>0</v>
      </c>
      <c r="G230" s="99">
        <v>0</v>
      </c>
      <c r="H230" s="60">
        <v>25000</v>
      </c>
      <c r="I230" s="36">
        <v>25000</v>
      </c>
      <c r="J230" s="262">
        <v>12500</v>
      </c>
      <c r="K230" s="369">
        <v>25000</v>
      </c>
      <c r="L230" s="331">
        <v>25000</v>
      </c>
      <c r="M230" s="370">
        <v>25000</v>
      </c>
      <c r="N230" s="269">
        <v>25000</v>
      </c>
      <c r="O230" s="262">
        <v>25000</v>
      </c>
    </row>
    <row r="231" spans="1:15" x14ac:dyDescent="0.25">
      <c r="A231" s="16" t="s">
        <v>69</v>
      </c>
      <c r="B231" s="196" t="s">
        <v>70</v>
      </c>
      <c r="C231" s="175">
        <v>22342.5</v>
      </c>
      <c r="D231" s="60">
        <v>31250</v>
      </c>
      <c r="E231" s="99"/>
      <c r="F231" s="138">
        <v>12500</v>
      </c>
      <c r="G231" s="99">
        <v>2375</v>
      </c>
      <c r="H231" s="60">
        <v>31250</v>
      </c>
      <c r="I231" s="36">
        <v>40000</v>
      </c>
      <c r="J231" s="262">
        <v>30000</v>
      </c>
      <c r="K231" s="369">
        <v>31250</v>
      </c>
      <c r="L231" s="331">
        <v>37500</v>
      </c>
      <c r="M231" s="370">
        <v>12500</v>
      </c>
      <c r="N231" s="269">
        <v>37500</v>
      </c>
      <c r="O231" s="262">
        <v>37500</v>
      </c>
    </row>
    <row r="232" spans="1:15" x14ac:dyDescent="0.25">
      <c r="A232" s="72" t="s">
        <v>157</v>
      </c>
      <c r="B232" s="189" t="s">
        <v>167</v>
      </c>
      <c r="C232" s="130"/>
      <c r="D232" s="67"/>
      <c r="E232" s="100"/>
      <c r="F232" s="54">
        <f t="shared" ref="F232:G232" si="140">F233</f>
        <v>0</v>
      </c>
      <c r="G232" s="148">
        <f t="shared" si="140"/>
        <v>0</v>
      </c>
      <c r="H232" s="67">
        <f>H233</f>
        <v>1875</v>
      </c>
      <c r="I232" s="79">
        <f>I233</f>
        <v>1875</v>
      </c>
      <c r="J232" s="270">
        <f>J233</f>
        <v>37500</v>
      </c>
      <c r="K232" s="271">
        <f t="shared" ref="K232:O232" si="141">K233</f>
        <v>1875</v>
      </c>
      <c r="L232" s="334">
        <f t="shared" si="141"/>
        <v>1875</v>
      </c>
      <c r="M232" s="373">
        <f>M233</f>
        <v>5000</v>
      </c>
      <c r="N232" s="265">
        <f t="shared" si="141"/>
        <v>1875</v>
      </c>
      <c r="O232" s="270">
        <f t="shared" si="141"/>
        <v>5000</v>
      </c>
    </row>
    <row r="233" spans="1:15" x14ac:dyDescent="0.25">
      <c r="A233" s="16" t="s">
        <v>103</v>
      </c>
      <c r="B233" s="196" t="s">
        <v>104</v>
      </c>
      <c r="C233" s="98">
        <f>C234</f>
        <v>0</v>
      </c>
      <c r="D233" s="40">
        <f t="shared" ref="D233:O233" si="142">D234</f>
        <v>1875</v>
      </c>
      <c r="E233" s="98">
        <f t="shared" si="142"/>
        <v>0</v>
      </c>
      <c r="F233" s="27">
        <f t="shared" ref="F233:G233" si="143">SUM(F234)</f>
        <v>0</v>
      </c>
      <c r="G233" s="83">
        <f t="shared" si="143"/>
        <v>0</v>
      </c>
      <c r="H233" s="40">
        <f>SUM(H234)</f>
        <v>1875</v>
      </c>
      <c r="I233" s="35">
        <f t="shared" si="142"/>
        <v>1875</v>
      </c>
      <c r="J233" s="257">
        <f>J234</f>
        <v>37500</v>
      </c>
      <c r="K233" s="371">
        <f t="shared" si="142"/>
        <v>1875</v>
      </c>
      <c r="L233" s="328">
        <f t="shared" si="142"/>
        <v>1875</v>
      </c>
      <c r="M233" s="375">
        <f>SUM(M234)</f>
        <v>5000</v>
      </c>
      <c r="N233" s="256">
        <f t="shared" si="142"/>
        <v>1875</v>
      </c>
      <c r="O233" s="257">
        <f t="shared" si="142"/>
        <v>5000</v>
      </c>
    </row>
    <row r="234" spans="1:15" ht="15.75" thickBot="1" x14ac:dyDescent="0.3">
      <c r="A234" s="43" t="s">
        <v>105</v>
      </c>
      <c r="B234" s="202" t="s">
        <v>106</v>
      </c>
      <c r="C234" s="176">
        <v>0</v>
      </c>
      <c r="D234" s="62">
        <v>1875</v>
      </c>
      <c r="E234" s="128"/>
      <c r="F234" s="133">
        <v>0</v>
      </c>
      <c r="G234" s="128">
        <v>0</v>
      </c>
      <c r="H234" s="62">
        <v>1875</v>
      </c>
      <c r="I234" s="59">
        <v>1875</v>
      </c>
      <c r="J234" s="282">
        <v>37500</v>
      </c>
      <c r="K234" s="393">
        <v>1875</v>
      </c>
      <c r="L234" s="394">
        <v>1875</v>
      </c>
      <c r="M234" s="395">
        <v>5000</v>
      </c>
      <c r="N234" s="281">
        <v>1875</v>
      </c>
      <c r="O234" s="282">
        <v>5000</v>
      </c>
    </row>
    <row r="235" spans="1:15" x14ac:dyDescent="0.25">
      <c r="A235" s="20" t="s">
        <v>152</v>
      </c>
      <c r="B235" s="184" t="s">
        <v>145</v>
      </c>
      <c r="C235" s="91">
        <f t="shared" ref="C235:E235" si="144">C237+C242+C246+C250+C256</f>
        <v>662782.77</v>
      </c>
      <c r="D235" s="65">
        <f t="shared" si="144"/>
        <v>1603194</v>
      </c>
      <c r="E235" s="91">
        <f t="shared" si="144"/>
        <v>4265.63</v>
      </c>
      <c r="F235" s="208">
        <f t="shared" ref="F235:G235" si="145">F236+F245+F255</f>
        <v>998200</v>
      </c>
      <c r="G235" s="146">
        <f t="shared" si="145"/>
        <v>697363.17</v>
      </c>
      <c r="H235" s="65">
        <f>H236+H245+H255</f>
        <v>1603194</v>
      </c>
      <c r="I235" s="110">
        <f>I237+I242+I246+I250+I256</f>
        <v>1968650</v>
      </c>
      <c r="J235" s="338">
        <f>J236+J245+J255</f>
        <v>1596950</v>
      </c>
      <c r="K235" s="387">
        <f t="shared" ref="K235:O235" si="146">K237+K242+K246+K250+K256</f>
        <v>1603194</v>
      </c>
      <c r="L235" s="388">
        <f t="shared" si="146"/>
        <v>1876775</v>
      </c>
      <c r="M235" s="389">
        <f>M236+M245+M255</f>
        <v>2014825</v>
      </c>
      <c r="N235" s="339">
        <f t="shared" ref="N235" si="147">N237+N242+N246+N250+N256</f>
        <v>1876775</v>
      </c>
      <c r="O235" s="338">
        <f t="shared" si="146"/>
        <v>1955325</v>
      </c>
    </row>
    <row r="236" spans="1:15" x14ac:dyDescent="0.25">
      <c r="A236" s="70" t="s">
        <v>7</v>
      </c>
      <c r="B236" s="189" t="s">
        <v>165</v>
      </c>
      <c r="C236" s="92"/>
      <c r="D236" s="66"/>
      <c r="E236" s="92"/>
      <c r="F236" s="209">
        <f t="shared" ref="F236:G236" si="148">F237+F242</f>
        <v>826825</v>
      </c>
      <c r="G236" s="147">
        <f t="shared" si="148"/>
        <v>674114.88</v>
      </c>
      <c r="H236" s="66">
        <f>H237+H242</f>
        <v>1278819</v>
      </c>
      <c r="I236" s="111">
        <f>I237+I242</f>
        <v>1472900</v>
      </c>
      <c r="J236" s="348">
        <f>J237+J242+J240</f>
        <v>989450</v>
      </c>
      <c r="K236" s="390">
        <f t="shared" ref="K236:L236" si="149">K237+K242</f>
        <v>1278819</v>
      </c>
      <c r="L236" s="391">
        <f t="shared" si="149"/>
        <v>1472900</v>
      </c>
      <c r="M236" s="392">
        <f>M237+M242+M240</f>
        <v>1542825</v>
      </c>
      <c r="N236" s="347">
        <f t="shared" ref="N236" si="150">N237+N242</f>
        <v>1472900</v>
      </c>
      <c r="O236" s="348">
        <f>O237+O242+O240</f>
        <v>1542825</v>
      </c>
    </row>
    <row r="237" spans="1:15" x14ac:dyDescent="0.25">
      <c r="A237" s="21" t="s">
        <v>19</v>
      </c>
      <c r="B237" s="196" t="s">
        <v>20</v>
      </c>
      <c r="C237" s="98">
        <f>C238</f>
        <v>500068.91</v>
      </c>
      <c r="D237" s="40">
        <f t="shared" ref="D237:E237" si="151">D238</f>
        <v>1237900</v>
      </c>
      <c r="E237" s="98">
        <f t="shared" si="151"/>
        <v>0</v>
      </c>
      <c r="F237" s="27">
        <f t="shared" ref="F237:G237" si="152">SUM(F238:F239)</f>
        <v>721500</v>
      </c>
      <c r="G237" s="83">
        <f t="shared" si="152"/>
        <v>589714.68000000005</v>
      </c>
      <c r="H237" s="40">
        <f t="shared" ref="H237:O237" si="153">SUM(H238:H239)</f>
        <v>1237900</v>
      </c>
      <c r="I237" s="35">
        <f t="shared" si="153"/>
        <v>1267900</v>
      </c>
      <c r="J237" s="257">
        <f t="shared" si="153"/>
        <v>830000</v>
      </c>
      <c r="K237" s="371">
        <f t="shared" si="153"/>
        <v>1237900</v>
      </c>
      <c r="L237" s="328">
        <f t="shared" si="153"/>
        <v>1267900</v>
      </c>
      <c r="M237" s="375">
        <f t="shared" si="153"/>
        <v>1305000</v>
      </c>
      <c r="N237" s="256">
        <f t="shared" si="153"/>
        <v>1267900</v>
      </c>
      <c r="O237" s="257">
        <f t="shared" si="153"/>
        <v>1305000</v>
      </c>
    </row>
    <row r="238" spans="1:15" x14ac:dyDescent="0.25">
      <c r="A238" s="22" t="s">
        <v>21</v>
      </c>
      <c r="B238" s="196" t="s">
        <v>22</v>
      </c>
      <c r="C238" s="175">
        <v>500068.91</v>
      </c>
      <c r="D238" s="60">
        <v>1237900</v>
      </c>
      <c r="E238" s="99"/>
      <c r="F238" s="138">
        <v>712500</v>
      </c>
      <c r="G238" s="99">
        <v>589714.68000000005</v>
      </c>
      <c r="H238" s="60">
        <v>1237900</v>
      </c>
      <c r="I238" s="36">
        <v>1237900</v>
      </c>
      <c r="J238" s="262">
        <v>800000</v>
      </c>
      <c r="K238" s="369">
        <v>1237900</v>
      </c>
      <c r="L238" s="331">
        <v>1237900</v>
      </c>
      <c r="M238" s="370">
        <v>1275000</v>
      </c>
      <c r="N238" s="269">
        <v>1237900</v>
      </c>
      <c r="O238" s="262">
        <v>1275000</v>
      </c>
    </row>
    <row r="239" spans="1:15" x14ac:dyDescent="0.25">
      <c r="A239" s="22" t="s">
        <v>23</v>
      </c>
      <c r="B239" s="196" t="s">
        <v>24</v>
      </c>
      <c r="C239" s="175"/>
      <c r="D239" s="60"/>
      <c r="E239" s="99"/>
      <c r="F239" s="138">
        <v>9000</v>
      </c>
      <c r="G239" s="99">
        <v>0</v>
      </c>
      <c r="H239" s="60"/>
      <c r="I239" s="36">
        <v>30000</v>
      </c>
      <c r="J239" s="262">
        <v>30000</v>
      </c>
      <c r="K239" s="369"/>
      <c r="L239" s="331">
        <v>30000</v>
      </c>
      <c r="M239" s="370">
        <v>30000</v>
      </c>
      <c r="N239" s="269">
        <v>30000</v>
      </c>
      <c r="O239" s="262">
        <v>30000</v>
      </c>
    </row>
    <row r="240" spans="1:15" x14ac:dyDescent="0.25">
      <c r="A240" s="16" t="s">
        <v>25</v>
      </c>
      <c r="B240" s="196" t="s">
        <v>26</v>
      </c>
      <c r="C240" s="98">
        <f>SUM(C241)</f>
        <v>420000</v>
      </c>
      <c r="D240" s="40">
        <f t="shared" ref="D240:O240" si="154">SUM(D241)</f>
        <v>187000</v>
      </c>
      <c r="E240" s="98">
        <f t="shared" si="154"/>
        <v>2125</v>
      </c>
      <c r="F240" s="27">
        <f t="shared" si="154"/>
        <v>0</v>
      </c>
      <c r="G240" s="83">
        <f t="shared" si="154"/>
        <v>0</v>
      </c>
      <c r="H240" s="40">
        <f>SUM(H241)</f>
        <v>187000</v>
      </c>
      <c r="I240" s="35">
        <f t="shared" si="154"/>
        <v>187000</v>
      </c>
      <c r="J240" s="257">
        <f>SUM(J241)</f>
        <v>22500</v>
      </c>
      <c r="K240" s="371">
        <f t="shared" si="154"/>
        <v>187000</v>
      </c>
      <c r="L240" s="328">
        <f t="shared" si="154"/>
        <v>187000</v>
      </c>
      <c r="M240" s="372">
        <f>SUM(M241)</f>
        <v>22500</v>
      </c>
      <c r="N240" s="256">
        <f t="shared" si="154"/>
        <v>187000</v>
      </c>
      <c r="O240" s="257">
        <f t="shared" si="154"/>
        <v>22500</v>
      </c>
    </row>
    <row r="241" spans="1:15" x14ac:dyDescent="0.25">
      <c r="A241" s="17" t="s">
        <v>27</v>
      </c>
      <c r="B241" s="196" t="s">
        <v>26</v>
      </c>
      <c r="C241" s="175">
        <f>195000+225000</f>
        <v>420000</v>
      </c>
      <c r="D241" s="60">
        <v>187000</v>
      </c>
      <c r="E241" s="99">
        <v>2125</v>
      </c>
      <c r="F241" s="138">
        <v>0</v>
      </c>
      <c r="G241" s="99">
        <v>0</v>
      </c>
      <c r="H241" s="60">
        <v>187000</v>
      </c>
      <c r="I241" s="36">
        <v>187000</v>
      </c>
      <c r="J241" s="262">
        <v>22500</v>
      </c>
      <c r="K241" s="369">
        <v>187000</v>
      </c>
      <c r="L241" s="331">
        <v>187000</v>
      </c>
      <c r="M241" s="370">
        <v>22500</v>
      </c>
      <c r="N241" s="269">
        <v>187000</v>
      </c>
      <c r="O241" s="262">
        <v>22500</v>
      </c>
    </row>
    <row r="242" spans="1:15" x14ac:dyDescent="0.25">
      <c r="A242" s="21" t="s">
        <v>28</v>
      </c>
      <c r="B242" s="196" t="s">
        <v>29</v>
      </c>
      <c r="C242" s="98">
        <f>C243+C244</f>
        <v>75033.63</v>
      </c>
      <c r="D242" s="40">
        <f>SUM(D243:D244)</f>
        <v>40919</v>
      </c>
      <c r="E242" s="98">
        <f t="shared" ref="E242" si="155">E243+E244</f>
        <v>0</v>
      </c>
      <c r="F242" s="27">
        <f t="shared" ref="F242:O242" si="156">SUM(F243:F244)</f>
        <v>105325</v>
      </c>
      <c r="G242" s="83">
        <f t="shared" si="156"/>
        <v>84400.2</v>
      </c>
      <c r="H242" s="40">
        <f t="shared" si="156"/>
        <v>40919</v>
      </c>
      <c r="I242" s="35">
        <f t="shared" si="156"/>
        <v>205000</v>
      </c>
      <c r="J242" s="257">
        <f t="shared" si="156"/>
        <v>136950</v>
      </c>
      <c r="K242" s="371">
        <f t="shared" si="156"/>
        <v>40919</v>
      </c>
      <c r="L242" s="328">
        <f t="shared" si="156"/>
        <v>205000</v>
      </c>
      <c r="M242" s="375">
        <f t="shared" si="156"/>
        <v>215325</v>
      </c>
      <c r="N242" s="256">
        <f t="shared" si="156"/>
        <v>205000</v>
      </c>
      <c r="O242" s="257">
        <f t="shared" si="156"/>
        <v>215325</v>
      </c>
    </row>
    <row r="243" spans="1:15" x14ac:dyDescent="0.25">
      <c r="A243" s="22" t="s">
        <v>30</v>
      </c>
      <c r="B243" s="196" t="s">
        <v>31</v>
      </c>
      <c r="C243" s="175">
        <v>67617.53</v>
      </c>
      <c r="D243" s="60">
        <v>19875</v>
      </c>
      <c r="E243" s="99"/>
      <c r="F243" s="138">
        <v>105325</v>
      </c>
      <c r="G243" s="99">
        <v>84400.2</v>
      </c>
      <c r="H243" s="60">
        <v>19875</v>
      </c>
      <c r="I243" s="36">
        <v>205000</v>
      </c>
      <c r="J243" s="262">
        <f>J237*16.5/100</f>
        <v>136950</v>
      </c>
      <c r="K243" s="369">
        <v>19875</v>
      </c>
      <c r="L243" s="331">
        <v>205000</v>
      </c>
      <c r="M243" s="370">
        <f>M237*16.5/100</f>
        <v>215325</v>
      </c>
      <c r="N243" s="269">
        <v>205000</v>
      </c>
      <c r="O243" s="262">
        <f>O237*16.5/100</f>
        <v>215325</v>
      </c>
    </row>
    <row r="244" spans="1:15" x14ac:dyDescent="0.25">
      <c r="A244" s="22" t="s">
        <v>32</v>
      </c>
      <c r="B244" s="196" t="s">
        <v>140</v>
      </c>
      <c r="C244" s="175">
        <v>7416.1</v>
      </c>
      <c r="D244" s="60">
        <v>21044</v>
      </c>
      <c r="E244" s="99"/>
      <c r="F244" s="138">
        <v>0</v>
      </c>
      <c r="G244" s="99">
        <v>0</v>
      </c>
      <c r="H244" s="60">
        <v>21044</v>
      </c>
      <c r="I244" s="36">
        <v>0</v>
      </c>
      <c r="J244" s="262">
        <v>0</v>
      </c>
      <c r="K244" s="369">
        <v>21044</v>
      </c>
      <c r="L244" s="331">
        <v>0</v>
      </c>
      <c r="M244" s="370"/>
      <c r="N244" s="269">
        <v>0</v>
      </c>
      <c r="O244" s="262">
        <v>0</v>
      </c>
    </row>
    <row r="245" spans="1:15" x14ac:dyDescent="0.25">
      <c r="A245" s="71">
        <v>32</v>
      </c>
      <c r="B245" s="201" t="s">
        <v>164</v>
      </c>
      <c r="C245" s="181"/>
      <c r="D245" s="67"/>
      <c r="E245" s="100"/>
      <c r="F245" s="54">
        <f t="shared" ref="F245:G245" si="157">F246+F250</f>
        <v>171375</v>
      </c>
      <c r="G245" s="148">
        <f t="shared" si="157"/>
        <v>23248.29</v>
      </c>
      <c r="H245" s="67">
        <f>H246+H250</f>
        <v>318750</v>
      </c>
      <c r="I245" s="79">
        <f>I246+I250</f>
        <v>490125</v>
      </c>
      <c r="J245" s="270">
        <f>J246+J250</f>
        <v>495000</v>
      </c>
      <c r="K245" s="271">
        <f t="shared" ref="K245:O245" si="158">K246+K250</f>
        <v>318750</v>
      </c>
      <c r="L245" s="334">
        <f t="shared" si="158"/>
        <v>398250</v>
      </c>
      <c r="M245" s="373">
        <f>M246+M250</f>
        <v>457000</v>
      </c>
      <c r="N245" s="265">
        <f t="shared" ref="N245" si="159">N246+N250</f>
        <v>398250</v>
      </c>
      <c r="O245" s="270">
        <f t="shared" si="158"/>
        <v>420000</v>
      </c>
    </row>
    <row r="246" spans="1:15" x14ac:dyDescent="0.25">
      <c r="A246" s="16" t="s">
        <v>33</v>
      </c>
      <c r="B246" s="198" t="s">
        <v>34</v>
      </c>
      <c r="C246" s="143">
        <f>C247+C249</f>
        <v>65337.73</v>
      </c>
      <c r="D246" s="40">
        <f>D247+D249</f>
        <v>150000</v>
      </c>
      <c r="E246" s="98">
        <f t="shared" ref="E246" si="160">E247+E249</f>
        <v>0</v>
      </c>
      <c r="F246" s="27">
        <f t="shared" ref="F246:O246" si="161">SUM(F247:F249)</f>
        <v>133125</v>
      </c>
      <c r="G246" s="83">
        <f t="shared" si="161"/>
        <v>5135.7800000000007</v>
      </c>
      <c r="H246" s="40">
        <f t="shared" si="161"/>
        <v>150000</v>
      </c>
      <c r="I246" s="35">
        <f t="shared" si="161"/>
        <v>290625</v>
      </c>
      <c r="J246" s="257">
        <f t="shared" si="161"/>
        <v>341250</v>
      </c>
      <c r="K246" s="371">
        <f t="shared" si="161"/>
        <v>150000</v>
      </c>
      <c r="L246" s="328">
        <f t="shared" si="161"/>
        <v>206250</v>
      </c>
      <c r="M246" s="375">
        <f t="shared" si="161"/>
        <v>318250</v>
      </c>
      <c r="N246" s="256">
        <f t="shared" si="161"/>
        <v>206250</v>
      </c>
      <c r="O246" s="257">
        <f t="shared" si="161"/>
        <v>206250</v>
      </c>
    </row>
    <row r="247" spans="1:15" x14ac:dyDescent="0.25">
      <c r="A247" s="17" t="s">
        <v>35</v>
      </c>
      <c r="B247" s="196" t="s">
        <v>36</v>
      </c>
      <c r="C247" s="175">
        <v>50487.73</v>
      </c>
      <c r="D247" s="60">
        <v>75000</v>
      </c>
      <c r="E247" s="99"/>
      <c r="F247" s="138">
        <v>84375</v>
      </c>
      <c r="G247" s="99">
        <v>20.97</v>
      </c>
      <c r="H247" s="60">
        <v>75000</v>
      </c>
      <c r="I247" s="36">
        <v>121875</v>
      </c>
      <c r="J247" s="262">
        <v>210000</v>
      </c>
      <c r="K247" s="369">
        <v>75000</v>
      </c>
      <c r="L247" s="331">
        <v>75000</v>
      </c>
      <c r="M247" s="370">
        <v>187000</v>
      </c>
      <c r="N247" s="269">
        <v>75000</v>
      </c>
      <c r="O247" s="262">
        <v>75000</v>
      </c>
    </row>
    <row r="248" spans="1:15" x14ac:dyDescent="0.25">
      <c r="A248" s="17" t="s">
        <v>37</v>
      </c>
      <c r="B248" s="196" t="s">
        <v>38</v>
      </c>
      <c r="C248" s="175"/>
      <c r="D248" s="60"/>
      <c r="E248" s="99"/>
      <c r="F248" s="138">
        <v>18750</v>
      </c>
      <c r="G248" s="99">
        <v>5114.8100000000004</v>
      </c>
      <c r="H248" s="60"/>
      <c r="I248" s="36">
        <v>56250</v>
      </c>
      <c r="J248" s="262">
        <v>56250</v>
      </c>
      <c r="K248" s="369"/>
      <c r="L248" s="331">
        <v>56250</v>
      </c>
      <c r="M248" s="370">
        <v>56250</v>
      </c>
      <c r="N248" s="269">
        <v>56250</v>
      </c>
      <c r="O248" s="262">
        <v>56250</v>
      </c>
    </row>
    <row r="249" spans="1:15" x14ac:dyDescent="0.25">
      <c r="A249" s="17" t="s">
        <v>39</v>
      </c>
      <c r="B249" s="196" t="s">
        <v>40</v>
      </c>
      <c r="C249" s="175">
        <v>14850</v>
      </c>
      <c r="D249" s="60">
        <v>75000</v>
      </c>
      <c r="E249" s="99"/>
      <c r="F249" s="138">
        <v>30000</v>
      </c>
      <c r="G249" s="99">
        <v>0</v>
      </c>
      <c r="H249" s="60">
        <v>75000</v>
      </c>
      <c r="I249" s="36">
        <v>112500</v>
      </c>
      <c r="J249" s="262">
        <v>75000</v>
      </c>
      <c r="K249" s="369">
        <v>75000</v>
      </c>
      <c r="L249" s="331">
        <v>75000</v>
      </c>
      <c r="M249" s="370">
        <v>75000</v>
      </c>
      <c r="N249" s="269">
        <v>75000</v>
      </c>
      <c r="O249" s="262">
        <v>75000</v>
      </c>
    </row>
    <row r="250" spans="1:15" x14ac:dyDescent="0.25">
      <c r="A250" s="16" t="s">
        <v>55</v>
      </c>
      <c r="B250" s="196" t="s">
        <v>56</v>
      </c>
      <c r="C250" s="98">
        <f>C254</f>
        <v>22342.5</v>
      </c>
      <c r="D250" s="40">
        <f>SUM(D253:D254)</f>
        <v>168750</v>
      </c>
      <c r="E250" s="98">
        <f>SUM(E252:E254)</f>
        <v>4265.63</v>
      </c>
      <c r="F250" s="27">
        <f>SUM(F251:F254)</f>
        <v>38250</v>
      </c>
      <c r="G250" s="83">
        <f t="shared" ref="G250:N250" si="162">SUM(G252:G254)</f>
        <v>18112.510000000002</v>
      </c>
      <c r="H250" s="40">
        <f t="shared" si="162"/>
        <v>168750</v>
      </c>
      <c r="I250" s="35">
        <f t="shared" si="162"/>
        <v>199500</v>
      </c>
      <c r="J250" s="257">
        <f>SUM(J251:J254)</f>
        <v>153750</v>
      </c>
      <c r="K250" s="371">
        <f t="shared" si="162"/>
        <v>168750</v>
      </c>
      <c r="L250" s="328">
        <f t="shared" si="162"/>
        <v>192000</v>
      </c>
      <c r="M250" s="372">
        <f>SUM(M251:M254)</f>
        <v>138750</v>
      </c>
      <c r="N250" s="256">
        <f t="shared" si="162"/>
        <v>192000</v>
      </c>
      <c r="O250" s="257">
        <f>SUM(O251:O254)</f>
        <v>213750</v>
      </c>
    </row>
    <row r="251" spans="1:15" x14ac:dyDescent="0.25">
      <c r="A251" s="16" t="s">
        <v>57</v>
      </c>
      <c r="B251" s="196" t="s">
        <v>58</v>
      </c>
      <c r="C251" s="98"/>
      <c r="D251" s="40"/>
      <c r="E251" s="98"/>
      <c r="F251" s="108">
        <v>750</v>
      </c>
      <c r="G251" s="101">
        <v>0</v>
      </c>
      <c r="H251" s="69"/>
      <c r="I251" s="108"/>
      <c r="J251" s="322">
        <v>3750</v>
      </c>
      <c r="K251" s="323"/>
      <c r="L251" s="325"/>
      <c r="M251" s="396">
        <v>3750</v>
      </c>
      <c r="N251" s="353"/>
      <c r="O251" s="322">
        <v>3750</v>
      </c>
    </row>
    <row r="252" spans="1:15" x14ac:dyDescent="0.25">
      <c r="A252" s="16" t="s">
        <v>61</v>
      </c>
      <c r="B252" s="196" t="s">
        <v>62</v>
      </c>
      <c r="C252" s="101"/>
      <c r="D252" s="69"/>
      <c r="E252" s="101">
        <v>4265.63</v>
      </c>
      <c r="F252" s="151">
        <v>0</v>
      </c>
      <c r="G252" s="101">
        <v>10987.51</v>
      </c>
      <c r="H252" s="69"/>
      <c r="I252" s="108">
        <v>4500</v>
      </c>
      <c r="J252" s="322">
        <v>22500</v>
      </c>
      <c r="K252" s="323"/>
      <c r="L252" s="325">
        <v>4500</v>
      </c>
      <c r="M252" s="376">
        <v>22500</v>
      </c>
      <c r="N252" s="353">
        <v>4500</v>
      </c>
      <c r="O252" s="322">
        <v>22500</v>
      </c>
    </row>
    <row r="253" spans="1:15" x14ac:dyDescent="0.25">
      <c r="A253" s="16" t="s">
        <v>65</v>
      </c>
      <c r="B253" s="196" t="s">
        <v>66</v>
      </c>
      <c r="C253" s="101"/>
      <c r="D253" s="60">
        <v>75000</v>
      </c>
      <c r="E253" s="99"/>
      <c r="F253" s="138">
        <v>0</v>
      </c>
      <c r="G253" s="99">
        <v>0</v>
      </c>
      <c r="H253" s="60">
        <v>75000</v>
      </c>
      <c r="I253" s="36">
        <v>75000</v>
      </c>
      <c r="J253" s="262">
        <v>37500</v>
      </c>
      <c r="K253" s="369">
        <v>75000</v>
      </c>
      <c r="L253" s="331">
        <v>75000</v>
      </c>
      <c r="M253" s="370">
        <v>75000</v>
      </c>
      <c r="N253" s="269">
        <v>75000</v>
      </c>
      <c r="O253" s="262">
        <v>75000</v>
      </c>
    </row>
    <row r="254" spans="1:15" x14ac:dyDescent="0.25">
      <c r="A254" s="16" t="s">
        <v>69</v>
      </c>
      <c r="B254" s="196" t="s">
        <v>70</v>
      </c>
      <c r="C254" s="175">
        <v>22342.5</v>
      </c>
      <c r="D254" s="60">
        <v>93750</v>
      </c>
      <c r="E254" s="99"/>
      <c r="F254" s="138">
        <v>37500</v>
      </c>
      <c r="G254" s="99">
        <v>7125</v>
      </c>
      <c r="H254" s="60">
        <v>93750</v>
      </c>
      <c r="I254" s="36">
        <v>120000</v>
      </c>
      <c r="J254" s="262">
        <v>90000</v>
      </c>
      <c r="K254" s="369">
        <v>93750</v>
      </c>
      <c r="L254" s="331">
        <v>112500</v>
      </c>
      <c r="M254" s="370">
        <v>37500</v>
      </c>
      <c r="N254" s="269">
        <v>112500</v>
      </c>
      <c r="O254" s="262">
        <v>112500</v>
      </c>
    </row>
    <row r="255" spans="1:15" x14ac:dyDescent="0.25">
      <c r="A255" s="72" t="s">
        <v>157</v>
      </c>
      <c r="B255" s="189" t="s">
        <v>167</v>
      </c>
      <c r="C255" s="130"/>
      <c r="D255" s="67"/>
      <c r="E255" s="100"/>
      <c r="F255" s="54">
        <f t="shared" ref="F255:G255" si="163">F256</f>
        <v>0</v>
      </c>
      <c r="G255" s="148">
        <f t="shared" si="163"/>
        <v>0</v>
      </c>
      <c r="H255" s="67">
        <f>H256</f>
        <v>5625</v>
      </c>
      <c r="I255" s="79">
        <f>I256</f>
        <v>5625</v>
      </c>
      <c r="J255" s="270">
        <f>J256</f>
        <v>112500</v>
      </c>
      <c r="K255" s="271">
        <f t="shared" ref="K255:O255" si="164">K256</f>
        <v>5625</v>
      </c>
      <c r="L255" s="334">
        <f t="shared" si="164"/>
        <v>5625</v>
      </c>
      <c r="M255" s="397">
        <f>M256</f>
        <v>15000</v>
      </c>
      <c r="N255" s="265">
        <f t="shared" si="164"/>
        <v>5625</v>
      </c>
      <c r="O255" s="270">
        <f t="shared" si="164"/>
        <v>15000</v>
      </c>
    </row>
    <row r="256" spans="1:15" x14ac:dyDescent="0.25">
      <c r="A256" s="16" t="s">
        <v>103</v>
      </c>
      <c r="B256" s="196" t="s">
        <v>104</v>
      </c>
      <c r="C256" s="98">
        <f>C257</f>
        <v>0</v>
      </c>
      <c r="D256" s="40">
        <f t="shared" ref="D256:O256" si="165">D257</f>
        <v>5625</v>
      </c>
      <c r="E256" s="98">
        <f t="shared" si="165"/>
        <v>0</v>
      </c>
      <c r="F256" s="27">
        <f t="shared" ref="F256:G256" si="166">SUM(F257)</f>
        <v>0</v>
      </c>
      <c r="G256" s="83">
        <f t="shared" si="166"/>
        <v>0</v>
      </c>
      <c r="H256" s="40">
        <f>SUM(H257)</f>
        <v>5625</v>
      </c>
      <c r="I256" s="35">
        <f>I257</f>
        <v>5625</v>
      </c>
      <c r="J256" s="257">
        <f>J257</f>
        <v>112500</v>
      </c>
      <c r="K256" s="371">
        <f t="shared" si="165"/>
        <v>5625</v>
      </c>
      <c r="L256" s="328">
        <f t="shared" si="165"/>
        <v>5625</v>
      </c>
      <c r="M256" s="372">
        <f>SUM(M257)</f>
        <v>15000</v>
      </c>
      <c r="N256" s="256">
        <f t="shared" si="165"/>
        <v>5625</v>
      </c>
      <c r="O256" s="257">
        <f t="shared" si="165"/>
        <v>15000</v>
      </c>
    </row>
    <row r="257" spans="1:15" ht="15.75" thickBot="1" x14ac:dyDescent="0.3">
      <c r="A257" s="43" t="s">
        <v>105</v>
      </c>
      <c r="B257" s="202" t="s">
        <v>106</v>
      </c>
      <c r="C257" s="176">
        <v>0</v>
      </c>
      <c r="D257" s="62">
        <v>5625</v>
      </c>
      <c r="E257" s="128"/>
      <c r="F257" s="133"/>
      <c r="G257" s="128">
        <v>0</v>
      </c>
      <c r="H257" s="62">
        <v>5625</v>
      </c>
      <c r="I257" s="59">
        <v>5625</v>
      </c>
      <c r="J257" s="282">
        <v>112500</v>
      </c>
      <c r="K257" s="393">
        <v>5625</v>
      </c>
      <c r="L257" s="394">
        <v>5625</v>
      </c>
      <c r="M257" s="395">
        <v>15000</v>
      </c>
      <c r="N257" s="281">
        <v>5625</v>
      </c>
      <c r="O257" s="282">
        <v>15000</v>
      </c>
    </row>
  </sheetData>
  <mergeCells count="4">
    <mergeCell ref="F3:G3"/>
    <mergeCell ref="H3:J3"/>
    <mergeCell ref="K3:M3"/>
    <mergeCell ref="N3:O3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426C-4A34-4169-8C8C-43F673B10F27}">
  <sheetPr>
    <pageSetUpPr fitToPage="1"/>
  </sheetPr>
  <dimension ref="A2:BG300"/>
  <sheetViews>
    <sheetView tabSelected="1" workbookViewId="0">
      <selection activeCell="G11" sqref="G11"/>
    </sheetView>
  </sheetViews>
  <sheetFormatPr defaultRowHeight="15" x14ac:dyDescent="0.25"/>
  <cols>
    <col min="1" max="1" width="16.85546875" customWidth="1"/>
    <col min="2" max="2" width="43.7109375" customWidth="1"/>
    <col min="3" max="3" width="13" hidden="1" customWidth="1"/>
    <col min="4" max="4" width="14.42578125" hidden="1" customWidth="1"/>
    <col min="5" max="5" width="13.5703125" hidden="1" customWidth="1"/>
    <col min="6" max="7" width="13.5703125" customWidth="1"/>
    <col min="8" max="8" width="13.5703125" hidden="1" customWidth="1"/>
    <col min="9" max="9" width="11.140625" hidden="1" customWidth="1"/>
    <col min="10" max="10" width="12.7109375" customWidth="1"/>
    <col min="11" max="11" width="12.140625" hidden="1" customWidth="1"/>
    <col min="12" max="12" width="10.140625" hidden="1" customWidth="1"/>
    <col min="13" max="13" width="13.140625" customWidth="1"/>
    <col min="14" max="14" width="12.140625" hidden="1" customWidth="1"/>
    <col min="15" max="15" width="12" customWidth="1"/>
    <col min="16" max="16" width="5.140625" style="75" customWidth="1"/>
    <col min="17" max="17" width="14.5703125" style="75" customWidth="1"/>
    <col min="18" max="18" width="13.85546875" style="75" bestFit="1" customWidth="1"/>
    <col min="19" max="19" width="9.140625" style="75"/>
    <col min="20" max="20" width="14.28515625" style="75" customWidth="1"/>
    <col min="21" max="21" width="4.7109375" style="75" customWidth="1"/>
    <col min="22" max="22" width="14.140625" style="75" customWidth="1"/>
    <col min="23" max="59" width="9.140625" style="75"/>
  </cols>
  <sheetData>
    <row r="2" spans="1:59" ht="15.75" thickBot="1" x14ac:dyDescent="0.3">
      <c r="A2" s="450" t="s">
        <v>204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</row>
    <row r="3" spans="1:59" ht="24" thickBot="1" x14ac:dyDescent="0.3">
      <c r="A3" s="1" t="s">
        <v>0</v>
      </c>
      <c r="B3" s="114" t="s">
        <v>0</v>
      </c>
      <c r="C3" s="46" t="s">
        <v>1</v>
      </c>
      <c r="D3" s="112" t="s">
        <v>148</v>
      </c>
      <c r="E3" s="46" t="s">
        <v>153</v>
      </c>
      <c r="F3" s="447" t="s">
        <v>186</v>
      </c>
      <c r="G3" s="448"/>
      <c r="H3" s="447" t="s">
        <v>187</v>
      </c>
      <c r="I3" s="449"/>
      <c r="J3" s="448"/>
      <c r="K3" s="447" t="s">
        <v>179</v>
      </c>
      <c r="L3" s="449"/>
      <c r="M3" s="448"/>
      <c r="N3" s="447" t="s">
        <v>188</v>
      </c>
      <c r="O3" s="448"/>
    </row>
    <row r="4" spans="1:59" ht="24" thickBot="1" x14ac:dyDescent="0.3">
      <c r="A4" s="1"/>
      <c r="B4" s="114"/>
      <c r="C4" s="46"/>
      <c r="D4" s="112"/>
      <c r="E4" s="46"/>
      <c r="F4" s="46" t="s">
        <v>160</v>
      </c>
      <c r="G4" s="46" t="s">
        <v>194</v>
      </c>
      <c r="H4" s="46" t="s">
        <v>163</v>
      </c>
      <c r="I4" s="46" t="s">
        <v>162</v>
      </c>
      <c r="J4" s="155" t="s">
        <v>170</v>
      </c>
      <c r="K4" s="46" t="s">
        <v>171</v>
      </c>
      <c r="L4" s="46" t="s">
        <v>172</v>
      </c>
      <c r="M4" s="154" t="s">
        <v>180</v>
      </c>
      <c r="N4" s="46" t="s">
        <v>173</v>
      </c>
      <c r="O4" s="155" t="s">
        <v>189</v>
      </c>
    </row>
    <row r="5" spans="1:59" ht="15.75" thickBot="1" x14ac:dyDescent="0.3">
      <c r="A5" s="1"/>
      <c r="B5" s="114" t="s">
        <v>0</v>
      </c>
      <c r="C5" s="168" t="s">
        <v>2</v>
      </c>
      <c r="D5" s="113" t="s">
        <v>2</v>
      </c>
      <c r="E5" s="47" t="s">
        <v>2</v>
      </c>
      <c r="F5" s="47" t="s">
        <v>2</v>
      </c>
      <c r="G5" s="47" t="s">
        <v>2</v>
      </c>
      <c r="H5" s="47" t="s">
        <v>2</v>
      </c>
      <c r="I5" s="47" t="s">
        <v>2</v>
      </c>
      <c r="J5" s="47" t="s">
        <v>2</v>
      </c>
      <c r="K5" s="47" t="s">
        <v>2</v>
      </c>
      <c r="L5" s="47" t="s">
        <v>2</v>
      </c>
      <c r="M5" s="47" t="s">
        <v>2</v>
      </c>
      <c r="N5" s="47" t="s">
        <v>2</v>
      </c>
      <c r="O5" s="47" t="s">
        <v>2</v>
      </c>
      <c r="R5" s="223"/>
      <c r="T5" s="223"/>
      <c r="V5" s="223"/>
    </row>
    <row r="6" spans="1:59" ht="23.25" thickBot="1" x14ac:dyDescent="0.3">
      <c r="A6" s="117" t="s">
        <v>3</v>
      </c>
      <c r="B6" s="182" t="s">
        <v>4</v>
      </c>
      <c r="C6" s="169"/>
      <c r="D6" s="118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R6" s="401"/>
      <c r="S6" s="401"/>
      <c r="T6" s="401"/>
      <c r="U6" s="401"/>
      <c r="V6" s="401"/>
    </row>
    <row r="7" spans="1:59" x14ac:dyDescent="0.25">
      <c r="A7" s="115" t="s">
        <v>5</v>
      </c>
      <c r="B7" s="183" t="s">
        <v>6</v>
      </c>
      <c r="C7" s="170" t="e">
        <f t="shared" ref="C7:N7" si="0">C19+C104+C147+C163</f>
        <v>#REF!</v>
      </c>
      <c r="D7" s="116" t="e">
        <f t="shared" si="0"/>
        <v>#REF!</v>
      </c>
      <c r="E7" s="116" t="e">
        <f t="shared" si="0"/>
        <v>#REF!</v>
      </c>
      <c r="F7" s="116">
        <f>F19+F104+F147+F163</f>
        <v>135579678</v>
      </c>
      <c r="G7" s="116">
        <f t="shared" si="0"/>
        <v>82131197.879999995</v>
      </c>
      <c r="H7" s="116" t="e">
        <f t="shared" si="0"/>
        <v>#REF!</v>
      </c>
      <c r="I7" s="116" t="e">
        <f t="shared" si="0"/>
        <v>#REF!</v>
      </c>
      <c r="J7" s="232">
        <f>J19+J104+J147+J163+J87</f>
        <v>150589996</v>
      </c>
      <c r="K7" s="232" t="e">
        <f t="shared" si="0"/>
        <v>#REF!</v>
      </c>
      <c r="L7" s="232" t="e">
        <f t="shared" si="0"/>
        <v>#REF!</v>
      </c>
      <c r="M7" s="232">
        <f>M19+M104+M147+M163+M87</f>
        <v>150725281</v>
      </c>
      <c r="N7" s="232" t="e">
        <f t="shared" si="0"/>
        <v>#REF!</v>
      </c>
      <c r="O7" s="232">
        <f>O19+O104+O147+O163+O87</f>
        <v>150400750</v>
      </c>
      <c r="R7" s="401"/>
      <c r="S7" s="401"/>
      <c r="T7" s="401"/>
      <c r="U7" s="401"/>
      <c r="V7" s="401"/>
    </row>
    <row r="8" spans="1:59" x14ac:dyDescent="0.25">
      <c r="A8" s="2" t="s">
        <v>150</v>
      </c>
      <c r="B8" s="184" t="s">
        <v>151</v>
      </c>
      <c r="C8" s="171">
        <f t="shared" ref="C8:L8" si="1">C177+C255</f>
        <v>47599911.369999997</v>
      </c>
      <c r="D8" s="48">
        <f t="shared" si="1"/>
        <v>14541593</v>
      </c>
      <c r="E8" s="48">
        <f t="shared" si="1"/>
        <v>2195692.5799999996</v>
      </c>
      <c r="F8" s="48">
        <f>F177+F255</f>
        <v>14787867</v>
      </c>
      <c r="G8" s="48">
        <f>G177+G255</f>
        <v>6914539.2500000009</v>
      </c>
      <c r="H8" s="48">
        <f>H177+H255</f>
        <v>12579354</v>
      </c>
      <c r="I8" s="48">
        <f>I177+I255</f>
        <v>15618865</v>
      </c>
      <c r="J8" s="233">
        <f>J124+J177+J255</f>
        <v>14777549</v>
      </c>
      <c r="K8" s="233">
        <f t="shared" si="1"/>
        <v>11924984</v>
      </c>
      <c r="L8" s="233">
        <f t="shared" si="1"/>
        <v>14671135</v>
      </c>
      <c r="M8" s="233">
        <f t="shared" ref="M8:O8" si="2">M124+M177+M255</f>
        <v>14880809</v>
      </c>
      <c r="N8" s="233" t="e">
        <f t="shared" si="2"/>
        <v>#REF!</v>
      </c>
      <c r="O8" s="233">
        <f t="shared" si="2"/>
        <v>15173549</v>
      </c>
      <c r="R8" s="401"/>
      <c r="S8" s="401"/>
      <c r="T8" s="401"/>
      <c r="U8" s="401"/>
      <c r="V8" s="401"/>
    </row>
    <row r="9" spans="1:59" x14ac:dyDescent="0.25">
      <c r="A9" s="2" t="s">
        <v>149</v>
      </c>
      <c r="B9" s="184" t="s">
        <v>144</v>
      </c>
      <c r="C9" s="86">
        <f>C176</f>
        <v>46937128.599999994</v>
      </c>
      <c r="D9" s="48">
        <f t="shared" ref="D9:L9" si="3">D215</f>
        <v>74101860</v>
      </c>
      <c r="E9" s="48">
        <f t="shared" si="3"/>
        <v>12443941.239999998</v>
      </c>
      <c r="F9" s="48">
        <f t="shared" si="3"/>
        <v>78663567</v>
      </c>
      <c r="G9" s="48">
        <f t="shared" si="3"/>
        <v>37939864.899999999</v>
      </c>
      <c r="H9" s="48">
        <f t="shared" si="3"/>
        <v>61845035</v>
      </c>
      <c r="I9" s="48">
        <f t="shared" si="3"/>
        <v>82807035</v>
      </c>
      <c r="J9" s="233">
        <f>J135+J215</f>
        <v>80289405.75</v>
      </c>
      <c r="K9" s="233">
        <f t="shared" si="3"/>
        <v>58035585</v>
      </c>
      <c r="L9" s="233">
        <f t="shared" si="3"/>
        <v>77570235</v>
      </c>
      <c r="M9" s="233">
        <f>M135+M215</f>
        <v>81129365.75</v>
      </c>
      <c r="N9" s="233">
        <f>N215</f>
        <v>75867985</v>
      </c>
      <c r="O9" s="233">
        <f>O135+O215</f>
        <v>82788405.75</v>
      </c>
      <c r="R9" s="401"/>
      <c r="S9" s="401"/>
      <c r="T9" s="401"/>
      <c r="U9" s="401"/>
      <c r="V9" s="401"/>
    </row>
    <row r="10" spans="1:59" x14ac:dyDescent="0.25">
      <c r="A10" s="2" t="s">
        <v>152</v>
      </c>
      <c r="B10" s="184" t="s">
        <v>145</v>
      </c>
      <c r="C10" s="86">
        <f>C254</f>
        <v>662782.77</v>
      </c>
      <c r="D10" s="48">
        <f t="shared" ref="D10:L10" si="4">D278</f>
        <v>1603194</v>
      </c>
      <c r="E10" s="48">
        <f t="shared" si="4"/>
        <v>4265.63</v>
      </c>
      <c r="F10" s="48">
        <f t="shared" si="4"/>
        <v>1206950</v>
      </c>
      <c r="G10" s="48">
        <f t="shared" si="4"/>
        <v>657807.14</v>
      </c>
      <c r="H10" s="48">
        <f t="shared" si="4"/>
        <v>1603194</v>
      </c>
      <c r="I10" s="48">
        <f t="shared" si="4"/>
        <v>1968650</v>
      </c>
      <c r="J10" s="233">
        <f>J278</f>
        <v>1753200</v>
      </c>
      <c r="K10" s="233">
        <f t="shared" si="4"/>
        <v>1603194</v>
      </c>
      <c r="L10" s="233">
        <f t="shared" si="4"/>
        <v>1876775</v>
      </c>
      <c r="M10" s="233">
        <f>M278</f>
        <v>1715700</v>
      </c>
      <c r="N10" s="233">
        <f t="shared" ref="N10" si="5">Q278</f>
        <v>0</v>
      </c>
      <c r="O10" s="233">
        <f>O278</f>
        <v>1715700</v>
      </c>
      <c r="R10" s="401"/>
      <c r="S10" s="401"/>
      <c r="T10" s="401"/>
      <c r="U10" s="401"/>
      <c r="V10" s="401"/>
    </row>
    <row r="11" spans="1:59" x14ac:dyDescent="0.25">
      <c r="A11" s="2" t="s">
        <v>7</v>
      </c>
      <c r="B11" s="185" t="s">
        <v>8</v>
      </c>
      <c r="C11" s="86">
        <f t="shared" ref="C11:O11" si="6">C78</f>
        <v>282070.21999999997</v>
      </c>
      <c r="D11" s="48">
        <f t="shared" si="6"/>
        <v>300000</v>
      </c>
      <c r="E11" s="48">
        <f t="shared" si="6"/>
        <v>26056.61</v>
      </c>
      <c r="F11" s="48">
        <f t="shared" si="6"/>
        <v>200000</v>
      </c>
      <c r="G11" s="48">
        <f t="shared" si="6"/>
        <v>56127.839999999997</v>
      </c>
      <c r="H11" s="48">
        <f t="shared" si="6"/>
        <v>300000</v>
      </c>
      <c r="I11" s="48">
        <f t="shared" si="6"/>
        <v>300000</v>
      </c>
      <c r="J11" s="233">
        <f t="shared" si="6"/>
        <v>300000</v>
      </c>
      <c r="K11" s="233">
        <f t="shared" si="6"/>
        <v>300000</v>
      </c>
      <c r="L11" s="233">
        <f t="shared" si="6"/>
        <v>300000</v>
      </c>
      <c r="M11" s="233">
        <f t="shared" si="6"/>
        <v>300000</v>
      </c>
      <c r="N11" s="233">
        <f t="shared" si="6"/>
        <v>300000</v>
      </c>
      <c r="O11" s="233">
        <f t="shared" si="6"/>
        <v>300000</v>
      </c>
      <c r="Q11" s="224"/>
      <c r="R11" s="203"/>
    </row>
    <row r="12" spans="1:59" x14ac:dyDescent="0.25">
      <c r="A12" s="2" t="s">
        <v>9</v>
      </c>
      <c r="B12" s="184" t="s">
        <v>10</v>
      </c>
      <c r="C12" s="86">
        <f>C83</f>
        <v>99918</v>
      </c>
      <c r="D12" s="48">
        <f t="shared" ref="D12:I12" si="7">D83+D156</f>
        <v>464000</v>
      </c>
      <c r="E12" s="48">
        <f t="shared" si="7"/>
        <v>0</v>
      </c>
      <c r="F12" s="48">
        <f t="shared" si="7"/>
        <v>60000</v>
      </c>
      <c r="G12" s="48">
        <f t="shared" si="7"/>
        <v>0</v>
      </c>
      <c r="H12" s="48">
        <f t="shared" si="7"/>
        <v>360200</v>
      </c>
      <c r="I12" s="48">
        <f t="shared" si="7"/>
        <v>360200</v>
      </c>
      <c r="J12" s="233">
        <f>J83</f>
        <v>160000</v>
      </c>
      <c r="K12" s="233">
        <f>K83+K156</f>
        <v>160000</v>
      </c>
      <c r="L12" s="233">
        <f>L83+L156</f>
        <v>160000</v>
      </c>
      <c r="M12" s="233">
        <f t="shared" ref="M12:O12" si="8">M83</f>
        <v>160000</v>
      </c>
      <c r="N12" s="233">
        <f t="shared" si="8"/>
        <v>160000</v>
      </c>
      <c r="O12" s="233">
        <f t="shared" si="8"/>
        <v>160000</v>
      </c>
      <c r="R12" s="203"/>
    </row>
    <row r="13" spans="1:59" x14ac:dyDescent="0.25">
      <c r="A13" s="2" t="s">
        <v>184</v>
      </c>
      <c r="B13" s="184" t="s">
        <v>183</v>
      </c>
      <c r="C13" s="221"/>
      <c r="D13" s="222"/>
      <c r="E13" s="222"/>
      <c r="F13" s="222">
        <f>F91</f>
        <v>1819180</v>
      </c>
      <c r="G13" s="222">
        <f>G91</f>
        <v>0</v>
      </c>
      <c r="H13" s="222">
        <f>H158</f>
        <v>70000</v>
      </c>
      <c r="I13" s="222">
        <f>I158</f>
        <v>70000</v>
      </c>
      <c r="J13" s="234">
        <v>2210200</v>
      </c>
      <c r="K13" s="234">
        <f>K158</f>
        <v>0</v>
      </c>
      <c r="L13" s="234">
        <f>L158</f>
        <v>0</v>
      </c>
      <c r="M13" s="234">
        <v>2126300</v>
      </c>
      <c r="N13" s="234">
        <f t="shared" ref="N13" si="9">N91</f>
        <v>0</v>
      </c>
      <c r="O13" s="234">
        <v>1707700</v>
      </c>
      <c r="R13" s="401"/>
    </row>
    <row r="14" spans="1:59" s="122" customFormat="1" ht="15.75" thickBot="1" x14ac:dyDescent="0.3">
      <c r="A14" s="3" t="s">
        <v>11</v>
      </c>
      <c r="B14" s="186"/>
      <c r="C14" s="172" t="e">
        <f t="shared" ref="C14:H14" si="10">SUM(C7:C12)</f>
        <v>#REF!</v>
      </c>
      <c r="D14" s="120" t="e">
        <f t="shared" si="10"/>
        <v>#REF!</v>
      </c>
      <c r="E14" s="120" t="e">
        <f t="shared" si="10"/>
        <v>#REF!</v>
      </c>
      <c r="F14" s="120">
        <f>SUM(F7:F13)</f>
        <v>232317242</v>
      </c>
      <c r="G14" s="120">
        <f t="shared" si="10"/>
        <v>127699537.01000001</v>
      </c>
      <c r="H14" s="120" t="e">
        <f t="shared" si="10"/>
        <v>#REF!</v>
      </c>
      <c r="I14" s="120" t="e">
        <f>SUM(I7:I12)</f>
        <v>#REF!</v>
      </c>
      <c r="J14" s="235">
        <f>SUM(J7:J13)</f>
        <v>250080350.75</v>
      </c>
      <c r="K14" s="235" t="e">
        <f>SUM(K7:K12)</f>
        <v>#REF!</v>
      </c>
      <c r="L14" s="235" t="e">
        <f>SUM(L7:L12)</f>
        <v>#REF!</v>
      </c>
      <c r="M14" s="235">
        <f>SUM(M7:M13)</f>
        <v>251037455.75</v>
      </c>
      <c r="N14" s="235" t="e">
        <f t="shared" ref="N14" si="11">SUM(N7:N12)</f>
        <v>#REF!</v>
      </c>
      <c r="O14" s="235">
        <f>SUM(O7:O13)</f>
        <v>252246104.75</v>
      </c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</row>
    <row r="15" spans="1:59" ht="15.75" thickBot="1" x14ac:dyDescent="0.3">
      <c r="A15" s="4" t="s">
        <v>12</v>
      </c>
      <c r="B15" s="123" t="s">
        <v>13</v>
      </c>
      <c r="C15" s="173"/>
      <c r="D15" s="49"/>
      <c r="E15" s="51"/>
      <c r="F15" s="127"/>
      <c r="G15" s="162"/>
      <c r="H15" s="165"/>
      <c r="I15" s="23"/>
      <c r="J15" s="236"/>
      <c r="K15" s="237"/>
      <c r="L15" s="237"/>
      <c r="M15" s="237"/>
      <c r="N15" s="237"/>
      <c r="O15" s="237"/>
    </row>
    <row r="16" spans="1:59" ht="23.25" thickBot="1" x14ac:dyDescent="0.3">
      <c r="A16" s="5" t="s">
        <v>3</v>
      </c>
      <c r="B16" s="124" t="s">
        <v>14</v>
      </c>
      <c r="C16" s="77" t="e">
        <f t="shared" ref="C16:L16" si="12">C17+C161+C175+C253</f>
        <v>#REF!</v>
      </c>
      <c r="D16" s="50" t="e">
        <f t="shared" si="12"/>
        <v>#REF!</v>
      </c>
      <c r="E16" s="77" t="e">
        <f t="shared" si="12"/>
        <v>#REF!</v>
      </c>
      <c r="F16" s="153">
        <f t="shared" si="12"/>
        <v>230498062</v>
      </c>
      <c r="G16" s="153">
        <f t="shared" si="12"/>
        <v>127699537.00999999</v>
      </c>
      <c r="H16" s="153" t="e">
        <f t="shared" si="12"/>
        <v>#REF!</v>
      </c>
      <c r="I16" s="153" t="e">
        <f t="shared" si="12"/>
        <v>#REF!</v>
      </c>
      <c r="J16" s="238">
        <f t="shared" si="12"/>
        <v>247520150.75</v>
      </c>
      <c r="K16" s="239" t="e">
        <f t="shared" si="12"/>
        <v>#REF!</v>
      </c>
      <c r="L16" s="239" t="e">
        <f t="shared" si="12"/>
        <v>#REF!</v>
      </c>
      <c r="M16" s="238">
        <f>M17+M161+M170+M247</f>
        <v>185019750</v>
      </c>
      <c r="N16" s="239" t="e">
        <f>N17+N161+N175+N253</f>
        <v>#REF!</v>
      </c>
      <c r="O16" s="240">
        <f>O17+O161+O175+O253</f>
        <v>250538404.75</v>
      </c>
    </row>
    <row r="17" spans="1:18" ht="23.25" thickBot="1" x14ac:dyDescent="0.3">
      <c r="A17" s="6" t="s">
        <v>15</v>
      </c>
      <c r="B17" s="187" t="s">
        <v>16</v>
      </c>
      <c r="C17" s="174" t="e">
        <f t="shared" ref="C17:O17" si="13">C18+C103+C146</f>
        <v>#REF!</v>
      </c>
      <c r="D17" s="76" t="e">
        <f t="shared" si="13"/>
        <v>#REF!</v>
      </c>
      <c r="E17" s="78" t="e">
        <f t="shared" si="13"/>
        <v>#REF!</v>
      </c>
      <c r="F17" s="24">
        <f t="shared" si="13"/>
        <v>131393678</v>
      </c>
      <c r="G17" s="24">
        <f t="shared" si="13"/>
        <v>81627424.810000002</v>
      </c>
      <c r="H17" s="24" t="e">
        <f t="shared" si="13"/>
        <v>#REF!</v>
      </c>
      <c r="I17" s="24" t="e">
        <f t="shared" si="13"/>
        <v>#REF!</v>
      </c>
      <c r="J17" s="241">
        <f t="shared" si="13"/>
        <v>173896245</v>
      </c>
      <c r="K17" s="241" t="e">
        <f t="shared" si="13"/>
        <v>#REF!</v>
      </c>
      <c r="L17" s="241" t="e">
        <f t="shared" si="13"/>
        <v>#REF!</v>
      </c>
      <c r="M17" s="241">
        <f t="shared" si="13"/>
        <v>173799750</v>
      </c>
      <c r="N17" s="242" t="e">
        <f t="shared" si="13"/>
        <v>#REF!</v>
      </c>
      <c r="O17" s="243">
        <f t="shared" si="13"/>
        <v>175246999</v>
      </c>
      <c r="R17" s="401"/>
    </row>
    <row r="18" spans="1:18" ht="22.5" x14ac:dyDescent="0.25">
      <c r="A18" s="7" t="s">
        <v>17</v>
      </c>
      <c r="B18" s="188" t="s">
        <v>18</v>
      </c>
      <c r="C18" s="156">
        <f t="shared" ref="C18:O18" si="14">C19+C78+C83</f>
        <v>106681036.91999999</v>
      </c>
      <c r="D18" s="38">
        <f t="shared" si="14"/>
        <v>108274178</v>
      </c>
      <c r="E18" s="33">
        <f t="shared" si="14"/>
        <v>43798594.880000003</v>
      </c>
      <c r="F18" s="25">
        <f t="shared" si="14"/>
        <v>104837553</v>
      </c>
      <c r="G18" s="25">
        <f t="shared" si="14"/>
        <v>74248889.350000009</v>
      </c>
      <c r="H18" s="25">
        <f t="shared" si="14"/>
        <v>110090000</v>
      </c>
      <c r="I18" s="25">
        <f t="shared" si="14"/>
        <v>127793750</v>
      </c>
      <c r="J18" s="244">
        <f t="shared" si="14"/>
        <v>114874000</v>
      </c>
      <c r="K18" s="244">
        <f t="shared" si="14"/>
        <v>108490000</v>
      </c>
      <c r="L18" s="244">
        <f t="shared" si="14"/>
        <v>125623750</v>
      </c>
      <c r="M18" s="244">
        <f t="shared" si="14"/>
        <v>114529970</v>
      </c>
      <c r="N18" s="245">
        <f t="shared" si="14"/>
        <v>126648750</v>
      </c>
      <c r="O18" s="246">
        <f t="shared" si="14"/>
        <v>116652500</v>
      </c>
      <c r="R18" s="401"/>
    </row>
    <row r="19" spans="1:18" x14ac:dyDescent="0.25">
      <c r="A19" s="8" t="s">
        <v>5</v>
      </c>
      <c r="B19" s="184" t="s">
        <v>6</v>
      </c>
      <c r="C19" s="129">
        <f>C21+C24+C26+C30+C35+C41+C50+C52+C61+C66+C73+C76</f>
        <v>106299048.69999999</v>
      </c>
      <c r="D19" s="39">
        <f>D21+D24+D26+D30+D35+D41+D50+D52+D61+D66+D73+D76</f>
        <v>107814178</v>
      </c>
      <c r="E19" s="34">
        <f>E21+E24+E26+E30+E35+E41+E50+E52+E61+E66+E73+E76</f>
        <v>43772538.270000003</v>
      </c>
      <c r="F19" s="26">
        <f>F20+F29+F60+F65+F68+F72</f>
        <v>104577553</v>
      </c>
      <c r="G19" s="86">
        <f>G20+G29+G60+G65+G68+G72</f>
        <v>74192761.510000005</v>
      </c>
      <c r="H19" s="39">
        <f>H20+H29+H60+H65+H72</f>
        <v>109630000</v>
      </c>
      <c r="I19" s="26">
        <f>I21+I24+I26+I30+I35+I41+I50+I52+I61+I66+I73+I76</f>
        <v>127333750</v>
      </c>
      <c r="J19" s="247">
        <f>J20+J29+J60+J65+J68+J72</f>
        <v>114414000</v>
      </c>
      <c r="K19" s="248">
        <f>K20+K29+K60+K65+K72</f>
        <v>108030000</v>
      </c>
      <c r="L19" s="248">
        <f>L21+L24+L26+L30+L35+L41+L50+L52+L61+L66+L73+L76</f>
        <v>125163750</v>
      </c>
      <c r="M19" s="247">
        <f>M20+M29+M60+M65+M68+M72</f>
        <v>114069970</v>
      </c>
      <c r="N19" s="247">
        <f t="shared" ref="N19" si="15">N20+N29+N60+N65+N72</f>
        <v>126188750</v>
      </c>
      <c r="O19" s="247">
        <f>O20+O29+O60+O65+O68+O72</f>
        <v>116192500</v>
      </c>
    </row>
    <row r="20" spans="1:18" x14ac:dyDescent="0.25">
      <c r="A20" s="52" t="s">
        <v>7</v>
      </c>
      <c r="B20" s="189" t="s">
        <v>165</v>
      </c>
      <c r="C20" s="130"/>
      <c r="D20" s="56"/>
      <c r="E20" s="57"/>
      <c r="F20" s="53">
        <f>F21+F24+F26</f>
        <v>87096500</v>
      </c>
      <c r="G20" s="87">
        <f>G21+G24+G26</f>
        <v>62758870.600000001</v>
      </c>
      <c r="H20" s="56">
        <f>H21+H24+H26</f>
        <v>90849000</v>
      </c>
      <c r="I20" s="53">
        <f>I21+I24+I26</f>
        <v>103932750</v>
      </c>
      <c r="J20" s="250">
        <f>J21+J24+J26</f>
        <v>94452000</v>
      </c>
      <c r="K20" s="251">
        <v>89949000</v>
      </c>
      <c r="L20" s="251">
        <f>L21+L24+L26</f>
        <v>102532750</v>
      </c>
      <c r="M20" s="250">
        <f t="shared" ref="M20:O20" si="16">M21+M24+M26</f>
        <v>93927000</v>
      </c>
      <c r="N20" s="250">
        <f t="shared" si="16"/>
        <v>102532750</v>
      </c>
      <c r="O20" s="250">
        <f t="shared" si="16"/>
        <v>93720500</v>
      </c>
    </row>
    <row r="21" spans="1:18" x14ac:dyDescent="0.25">
      <c r="A21" s="9" t="s">
        <v>19</v>
      </c>
      <c r="B21" s="190" t="s">
        <v>20</v>
      </c>
      <c r="C21" s="98">
        <f t="shared" ref="C21:E21" si="17">SUM(C22:C23)</f>
        <v>72339008.989999995</v>
      </c>
      <c r="D21" s="40">
        <f t="shared" si="17"/>
        <v>73800000</v>
      </c>
      <c r="E21" s="35">
        <f t="shared" si="17"/>
        <v>30950115.359999999</v>
      </c>
      <c r="F21" s="35">
        <f>F22+F23</f>
        <v>72100000</v>
      </c>
      <c r="G21" s="98">
        <f>SUM(G22:G23)</f>
        <v>52325690.350000001</v>
      </c>
      <c r="H21" s="40">
        <f t="shared" ref="H21:O21" si="18">SUM(H22:H23)</f>
        <v>74800000</v>
      </c>
      <c r="I21" s="27">
        <f t="shared" si="18"/>
        <v>85350000</v>
      </c>
      <c r="J21" s="254">
        <f t="shared" si="18"/>
        <v>78300000</v>
      </c>
      <c r="K21" s="255">
        <f t="shared" si="18"/>
        <v>74800000</v>
      </c>
      <c r="L21" s="255">
        <f t="shared" si="18"/>
        <v>85350000</v>
      </c>
      <c r="M21" s="254">
        <f t="shared" si="18"/>
        <v>77960000</v>
      </c>
      <c r="N21" s="256">
        <f t="shared" si="18"/>
        <v>85350000</v>
      </c>
      <c r="O21" s="257">
        <f t="shared" si="18"/>
        <v>77853500</v>
      </c>
      <c r="R21" s="401"/>
    </row>
    <row r="22" spans="1:18" x14ac:dyDescent="0.25">
      <c r="A22" s="10" t="s">
        <v>21</v>
      </c>
      <c r="B22" s="191" t="s">
        <v>22</v>
      </c>
      <c r="C22" s="175">
        <v>70695044.640000001</v>
      </c>
      <c r="D22" s="60">
        <v>73500000</v>
      </c>
      <c r="E22" s="36">
        <v>30214512.399999999</v>
      </c>
      <c r="F22" s="36">
        <v>71800000</v>
      </c>
      <c r="G22" s="99">
        <v>51960625.210000001</v>
      </c>
      <c r="H22" s="60">
        <v>74500000</v>
      </c>
      <c r="I22" s="55">
        <v>85050000</v>
      </c>
      <c r="J22" s="258">
        <v>78000000</v>
      </c>
      <c r="K22" s="259">
        <v>74500000</v>
      </c>
      <c r="L22" s="259">
        <v>85050000</v>
      </c>
      <c r="M22" s="260">
        <v>77660000</v>
      </c>
      <c r="N22" s="261">
        <v>85050000</v>
      </c>
      <c r="O22" s="262">
        <v>77653500</v>
      </c>
    </row>
    <row r="23" spans="1:18" x14ac:dyDescent="0.25">
      <c r="A23" s="10" t="s">
        <v>23</v>
      </c>
      <c r="B23" s="191" t="s">
        <v>24</v>
      </c>
      <c r="C23" s="175">
        <v>1643964.35</v>
      </c>
      <c r="D23" s="60">
        <v>300000</v>
      </c>
      <c r="E23" s="36">
        <v>735602.96</v>
      </c>
      <c r="F23" s="36">
        <v>300000</v>
      </c>
      <c r="G23" s="99">
        <v>365065.14</v>
      </c>
      <c r="H23" s="60">
        <v>300000</v>
      </c>
      <c r="I23" s="55">
        <v>300000</v>
      </c>
      <c r="J23" s="258">
        <v>300000</v>
      </c>
      <c r="K23" s="259">
        <v>300000</v>
      </c>
      <c r="L23" s="259">
        <v>300000</v>
      </c>
      <c r="M23" s="260">
        <v>300000</v>
      </c>
      <c r="N23" s="261">
        <v>300000</v>
      </c>
      <c r="O23" s="262">
        <v>200000</v>
      </c>
    </row>
    <row r="24" spans="1:18" x14ac:dyDescent="0.25">
      <c r="A24" s="9" t="s">
        <v>25</v>
      </c>
      <c r="B24" s="190" t="s">
        <v>26</v>
      </c>
      <c r="C24" s="98">
        <f t="shared" ref="C24:E24" si="19">SUM(C25)</f>
        <v>2533848.34</v>
      </c>
      <c r="D24" s="40">
        <f t="shared" si="19"/>
        <v>3100000</v>
      </c>
      <c r="E24" s="35">
        <f t="shared" si="19"/>
        <v>237821.09</v>
      </c>
      <c r="F24" s="35">
        <f>SUM(F25)</f>
        <v>3100000</v>
      </c>
      <c r="G24" s="35">
        <f>SUM(G25)</f>
        <v>1967442.17</v>
      </c>
      <c r="H24" s="40">
        <f t="shared" ref="H24:O24" si="20">SUM(H25)</f>
        <v>4300000</v>
      </c>
      <c r="I24" s="27">
        <f t="shared" si="20"/>
        <v>4500000</v>
      </c>
      <c r="J24" s="254">
        <f t="shared" si="20"/>
        <v>3000000</v>
      </c>
      <c r="K24" s="255">
        <f t="shared" si="20"/>
        <v>2900000</v>
      </c>
      <c r="L24" s="255">
        <f t="shared" si="20"/>
        <v>3100000</v>
      </c>
      <c r="M24" s="254">
        <f t="shared" si="20"/>
        <v>3100000</v>
      </c>
      <c r="N24" s="256">
        <f t="shared" si="20"/>
        <v>3100000</v>
      </c>
      <c r="O24" s="257">
        <f t="shared" si="20"/>
        <v>3000000</v>
      </c>
      <c r="R24" s="401"/>
    </row>
    <row r="25" spans="1:18" x14ac:dyDescent="0.25">
      <c r="A25" s="10" t="s">
        <v>27</v>
      </c>
      <c r="B25" s="191" t="s">
        <v>26</v>
      </c>
      <c r="C25" s="175">
        <f>1783848.34+750000</f>
        <v>2533848.34</v>
      </c>
      <c r="D25" s="60">
        <v>3100000</v>
      </c>
      <c r="E25" s="36">
        <v>237821.09</v>
      </c>
      <c r="F25" s="36">
        <v>3100000</v>
      </c>
      <c r="G25" s="99">
        <v>1967442.17</v>
      </c>
      <c r="H25" s="60">
        <v>4300000</v>
      </c>
      <c r="I25" s="55">
        <v>4500000</v>
      </c>
      <c r="J25" s="258">
        <v>3000000</v>
      </c>
      <c r="K25" s="259">
        <v>2900000</v>
      </c>
      <c r="L25" s="259">
        <v>3100000</v>
      </c>
      <c r="M25" s="260">
        <v>3100000</v>
      </c>
      <c r="N25" s="261">
        <v>3100000</v>
      </c>
      <c r="O25" s="262">
        <v>3000000</v>
      </c>
    </row>
    <row r="26" spans="1:18" x14ac:dyDescent="0.25">
      <c r="A26" s="9" t="s">
        <v>28</v>
      </c>
      <c r="B26" s="190" t="s">
        <v>29</v>
      </c>
      <c r="C26" s="98">
        <f t="shared" ref="C26:I26" si="21">SUM(C27:C27)</f>
        <v>10885629.33</v>
      </c>
      <c r="D26" s="40">
        <f t="shared" si="21"/>
        <v>11439000</v>
      </c>
      <c r="E26" s="35">
        <f t="shared" si="21"/>
        <v>4865295.04</v>
      </c>
      <c r="F26" s="35">
        <f t="shared" si="21"/>
        <v>11896500</v>
      </c>
      <c r="G26" s="98">
        <f>G27+G28</f>
        <v>8465738.0800000001</v>
      </c>
      <c r="H26" s="40">
        <f t="shared" si="21"/>
        <v>11749000</v>
      </c>
      <c r="I26" s="27">
        <f t="shared" si="21"/>
        <v>14082750</v>
      </c>
      <c r="J26" s="254">
        <f>J27+J28</f>
        <v>13152000</v>
      </c>
      <c r="K26" s="255">
        <f>SUM(K27:K27)</f>
        <v>11749000</v>
      </c>
      <c r="L26" s="255">
        <f>SUM(L27:L27)</f>
        <v>14082750</v>
      </c>
      <c r="M26" s="254">
        <f>SUM(M27:M27)</f>
        <v>12867000</v>
      </c>
      <c r="N26" s="256">
        <f>SUM(N27:N27)</f>
        <v>14082750</v>
      </c>
      <c r="O26" s="257">
        <f>SUM(O27:O27)</f>
        <v>12867000</v>
      </c>
    </row>
    <row r="27" spans="1:18" x14ac:dyDescent="0.25">
      <c r="A27" s="10" t="s">
        <v>30</v>
      </c>
      <c r="B27" s="191" t="s">
        <v>168</v>
      </c>
      <c r="C27" s="175">
        <v>10885629.33</v>
      </c>
      <c r="D27" s="60">
        <v>11439000</v>
      </c>
      <c r="E27" s="36">
        <v>4865295.04</v>
      </c>
      <c r="F27" s="36">
        <v>11896500</v>
      </c>
      <c r="G27" s="99">
        <v>8464877.6600000001</v>
      </c>
      <c r="H27" s="60">
        <v>11749000</v>
      </c>
      <c r="I27" s="55">
        <f>I21*16.5/100</f>
        <v>14082750</v>
      </c>
      <c r="J27" s="258">
        <v>13002000</v>
      </c>
      <c r="K27" s="259">
        <v>11749000</v>
      </c>
      <c r="L27" s="259">
        <f t="shared" ref="L27" si="22">L21*16.5/100</f>
        <v>14082750</v>
      </c>
      <c r="M27" s="260">
        <v>12867000</v>
      </c>
      <c r="N27" s="261">
        <f t="shared" ref="N27" si="23">N21*16.5/100</f>
        <v>14082750</v>
      </c>
      <c r="O27" s="262">
        <v>12867000</v>
      </c>
    </row>
    <row r="28" spans="1:18" x14ac:dyDescent="0.25">
      <c r="A28" s="10" t="s">
        <v>30</v>
      </c>
      <c r="B28" s="191" t="s">
        <v>197</v>
      </c>
      <c r="C28" s="175"/>
      <c r="D28" s="60"/>
      <c r="E28" s="36"/>
      <c r="F28" s="36"/>
      <c r="G28" s="99">
        <v>860.42</v>
      </c>
      <c r="H28" s="60"/>
      <c r="I28" s="55"/>
      <c r="J28" s="258">
        <v>150000</v>
      </c>
      <c r="K28" s="259"/>
      <c r="L28" s="259"/>
      <c r="M28" s="260"/>
      <c r="N28" s="261"/>
      <c r="O28" s="446"/>
    </row>
    <row r="29" spans="1:18" x14ac:dyDescent="0.25">
      <c r="A29" s="52" t="s">
        <v>155</v>
      </c>
      <c r="B29" s="189" t="s">
        <v>164</v>
      </c>
      <c r="C29" s="130"/>
      <c r="D29" s="67"/>
      <c r="E29" s="79"/>
      <c r="F29" s="54">
        <f t="shared" ref="F29:G29" si="24">F30+F35+F41+F50+F52</f>
        <v>17226353</v>
      </c>
      <c r="G29" s="79">
        <f t="shared" si="24"/>
        <v>11264372.940000001</v>
      </c>
      <c r="H29" s="67">
        <f>H30+H35+H41+H50+H52</f>
        <v>18651000</v>
      </c>
      <c r="I29" s="54">
        <f>I30+I35+I41+I50+I52</f>
        <v>22821000</v>
      </c>
      <c r="J29" s="263">
        <f>J30+J35+J41+J50+J52</f>
        <v>19658000</v>
      </c>
      <c r="K29" s="264">
        <f>K30+K35+K41+K50+K52</f>
        <v>17951000</v>
      </c>
      <c r="L29" s="264">
        <f t="shared" ref="L29:O29" si="25">L30+L35+L41+L50+L52</f>
        <v>22401000</v>
      </c>
      <c r="M29" s="263">
        <f t="shared" si="25"/>
        <v>19729000</v>
      </c>
      <c r="N29" s="263">
        <f t="shared" si="25"/>
        <v>22626000</v>
      </c>
      <c r="O29" s="263">
        <f t="shared" si="25"/>
        <v>19688000</v>
      </c>
    </row>
    <row r="30" spans="1:18" x14ac:dyDescent="0.25">
      <c r="A30" s="9" t="s">
        <v>33</v>
      </c>
      <c r="B30" s="190" t="s">
        <v>34</v>
      </c>
      <c r="C30" s="98">
        <f t="shared" ref="C30:E30" si="26">SUM(C31:C34)</f>
        <v>5325825.8499999996</v>
      </c>
      <c r="D30" s="40">
        <f t="shared" si="26"/>
        <v>4896040</v>
      </c>
      <c r="E30" s="35">
        <f t="shared" si="26"/>
        <v>2251436.06</v>
      </c>
      <c r="F30" s="35">
        <f>SUM(F31:F34)</f>
        <v>3877328</v>
      </c>
      <c r="G30" s="98">
        <f>SUM(G31:G34)</f>
        <v>2054069.7599999998</v>
      </c>
      <c r="H30" s="40">
        <f t="shared" ref="H30:N30" si="27">SUM(H31:H34)</f>
        <v>4675000</v>
      </c>
      <c r="I30" s="27">
        <f t="shared" si="27"/>
        <v>5075000</v>
      </c>
      <c r="J30" s="254">
        <f>SUM(J31:J34)</f>
        <v>4625000</v>
      </c>
      <c r="K30" s="255">
        <f t="shared" si="27"/>
        <v>4675000</v>
      </c>
      <c r="L30" s="255">
        <f t="shared" si="27"/>
        <v>5075000</v>
      </c>
      <c r="M30" s="254">
        <f>SUM(M31:M34)</f>
        <v>4625000</v>
      </c>
      <c r="N30" s="256">
        <f t="shared" si="27"/>
        <v>5100000</v>
      </c>
      <c r="O30" s="254">
        <f>SUM(O31:O34)</f>
        <v>4625000</v>
      </c>
    </row>
    <row r="31" spans="1:18" x14ac:dyDescent="0.25">
      <c r="A31" s="10" t="s">
        <v>35</v>
      </c>
      <c r="B31" s="191" t="s">
        <v>36</v>
      </c>
      <c r="C31" s="175">
        <v>1152293.92</v>
      </c>
      <c r="D31" s="60">
        <v>855000</v>
      </c>
      <c r="E31" s="36">
        <v>516084.71</v>
      </c>
      <c r="F31" s="36">
        <v>750000</v>
      </c>
      <c r="G31" s="99">
        <v>253698.92</v>
      </c>
      <c r="H31" s="60">
        <v>700000</v>
      </c>
      <c r="I31" s="29">
        <v>900000</v>
      </c>
      <c r="J31" s="258">
        <v>950000</v>
      </c>
      <c r="K31" s="268">
        <v>700000</v>
      </c>
      <c r="L31" s="268">
        <v>900000</v>
      </c>
      <c r="M31" s="260">
        <v>950000</v>
      </c>
      <c r="N31" s="269">
        <v>900000</v>
      </c>
      <c r="O31" s="262">
        <v>950000</v>
      </c>
    </row>
    <row r="32" spans="1:18" x14ac:dyDescent="0.25">
      <c r="A32" s="10" t="s">
        <v>37</v>
      </c>
      <c r="B32" s="191" t="s">
        <v>38</v>
      </c>
      <c r="C32" s="175">
        <v>4051541.68</v>
      </c>
      <c r="D32" s="60">
        <v>3756040</v>
      </c>
      <c r="E32" s="36">
        <v>1669272.6</v>
      </c>
      <c r="F32" s="36">
        <v>2980000</v>
      </c>
      <c r="G32" s="99">
        <v>1769612.38</v>
      </c>
      <c r="H32" s="60">
        <v>3700000</v>
      </c>
      <c r="I32" s="29">
        <v>3900000</v>
      </c>
      <c r="J32" s="258">
        <v>3500000</v>
      </c>
      <c r="K32" s="268">
        <v>3700000</v>
      </c>
      <c r="L32" s="268">
        <v>3900000</v>
      </c>
      <c r="M32" s="260">
        <v>3500000</v>
      </c>
      <c r="N32" s="269">
        <v>3900000</v>
      </c>
      <c r="O32" s="262">
        <v>3500000</v>
      </c>
    </row>
    <row r="33" spans="1:18" x14ac:dyDescent="0.25">
      <c r="A33" s="10" t="s">
        <v>39</v>
      </c>
      <c r="B33" s="191" t="s">
        <v>40</v>
      </c>
      <c r="C33" s="175">
        <v>104559.25</v>
      </c>
      <c r="D33" s="60">
        <v>237500</v>
      </c>
      <c r="E33" s="36">
        <v>57728.75</v>
      </c>
      <c r="F33" s="36">
        <v>142500</v>
      </c>
      <c r="G33" s="99">
        <v>30758.46</v>
      </c>
      <c r="H33" s="60">
        <v>250000</v>
      </c>
      <c r="I33" s="29">
        <v>250000</v>
      </c>
      <c r="J33" s="258">
        <v>150000</v>
      </c>
      <c r="K33" s="268">
        <v>250000</v>
      </c>
      <c r="L33" s="268">
        <v>250000</v>
      </c>
      <c r="M33" s="260">
        <v>150000</v>
      </c>
      <c r="N33" s="269">
        <v>250000</v>
      </c>
      <c r="O33" s="262">
        <v>150000</v>
      </c>
    </row>
    <row r="34" spans="1:18" x14ac:dyDescent="0.25">
      <c r="A34" s="10" t="s">
        <v>41</v>
      </c>
      <c r="B34" s="191" t="s">
        <v>42</v>
      </c>
      <c r="C34" s="175">
        <v>17431</v>
      </c>
      <c r="D34" s="60">
        <v>47500</v>
      </c>
      <c r="E34" s="36">
        <v>8350</v>
      </c>
      <c r="F34" s="36">
        <v>4828</v>
      </c>
      <c r="G34" s="99">
        <v>0</v>
      </c>
      <c r="H34" s="60">
        <v>25000</v>
      </c>
      <c r="I34" s="29">
        <v>25000</v>
      </c>
      <c r="J34" s="258">
        <v>25000</v>
      </c>
      <c r="K34" s="268">
        <v>25000</v>
      </c>
      <c r="L34" s="268">
        <v>25000</v>
      </c>
      <c r="M34" s="260">
        <v>25000</v>
      </c>
      <c r="N34" s="269">
        <v>50000</v>
      </c>
      <c r="O34" s="262">
        <v>25000</v>
      </c>
    </row>
    <row r="35" spans="1:18" x14ac:dyDescent="0.25">
      <c r="A35" s="9" t="s">
        <v>43</v>
      </c>
      <c r="B35" s="190" t="s">
        <v>44</v>
      </c>
      <c r="C35" s="98">
        <f t="shared" ref="C35:O35" si="28">SUM(C36:C40)</f>
        <v>2325203.77</v>
      </c>
      <c r="D35" s="40">
        <f t="shared" si="28"/>
        <v>1957000</v>
      </c>
      <c r="E35" s="35">
        <f t="shared" si="28"/>
        <v>1005390.9699999999</v>
      </c>
      <c r="F35" s="27">
        <f>SUM(F36:F40)</f>
        <v>1745150</v>
      </c>
      <c r="G35" s="83">
        <f>SUM(G36:G40)</f>
        <v>1254838.45</v>
      </c>
      <c r="H35" s="40">
        <f t="shared" si="28"/>
        <v>1960000</v>
      </c>
      <c r="I35" s="27">
        <f t="shared" si="28"/>
        <v>3400000</v>
      </c>
      <c r="J35" s="254">
        <f>SUM(J36:J40)</f>
        <v>2037000</v>
      </c>
      <c r="K35" s="255">
        <f t="shared" si="28"/>
        <v>1960000</v>
      </c>
      <c r="L35" s="255">
        <f t="shared" si="28"/>
        <v>3300000</v>
      </c>
      <c r="M35" s="267">
        <f>SUM(M36:M40)</f>
        <v>2037000</v>
      </c>
      <c r="N35" s="256">
        <f t="shared" si="28"/>
        <v>3300000</v>
      </c>
      <c r="O35" s="257">
        <f t="shared" si="28"/>
        <v>2037000</v>
      </c>
      <c r="R35" s="203"/>
    </row>
    <row r="36" spans="1:18" x14ac:dyDescent="0.25">
      <c r="A36" s="10" t="s">
        <v>45</v>
      </c>
      <c r="B36" s="191" t="s">
        <v>46</v>
      </c>
      <c r="C36" s="175">
        <v>1046372.76</v>
      </c>
      <c r="D36" s="60">
        <v>950000</v>
      </c>
      <c r="E36" s="36">
        <v>463427.92</v>
      </c>
      <c r="F36" s="36">
        <v>760000</v>
      </c>
      <c r="G36" s="99">
        <v>521112.23</v>
      </c>
      <c r="H36" s="60">
        <v>900000</v>
      </c>
      <c r="I36" s="55">
        <v>1840000</v>
      </c>
      <c r="J36" s="258">
        <v>1000000</v>
      </c>
      <c r="K36" s="259">
        <v>900000</v>
      </c>
      <c r="L36" s="259">
        <v>1840000</v>
      </c>
      <c r="M36" s="260">
        <v>1000000</v>
      </c>
      <c r="N36" s="261">
        <v>1840000</v>
      </c>
      <c r="O36" s="262">
        <v>1000000</v>
      </c>
    </row>
    <row r="37" spans="1:18" x14ac:dyDescent="0.25">
      <c r="A37" s="10" t="s">
        <v>47</v>
      </c>
      <c r="B37" s="191" t="s">
        <v>48</v>
      </c>
      <c r="C37" s="175">
        <v>1133565</v>
      </c>
      <c r="D37" s="60">
        <v>760000</v>
      </c>
      <c r="E37" s="36">
        <v>515351.03</v>
      </c>
      <c r="F37" s="36">
        <v>665000</v>
      </c>
      <c r="G37" s="99">
        <v>646714.51</v>
      </c>
      <c r="H37" s="60">
        <v>800000</v>
      </c>
      <c r="I37" s="55">
        <v>1200000</v>
      </c>
      <c r="J37" s="258">
        <v>700000</v>
      </c>
      <c r="K37" s="259">
        <v>800000</v>
      </c>
      <c r="L37" s="259">
        <v>1200000</v>
      </c>
      <c r="M37" s="260">
        <v>700000</v>
      </c>
      <c r="N37" s="261">
        <v>1200000</v>
      </c>
      <c r="O37" s="262">
        <v>700000</v>
      </c>
    </row>
    <row r="38" spans="1:18" x14ac:dyDescent="0.25">
      <c r="A38" s="10" t="s">
        <v>49</v>
      </c>
      <c r="B38" s="191" t="s">
        <v>50</v>
      </c>
      <c r="C38" s="175">
        <v>35111.67</v>
      </c>
      <c r="D38" s="60">
        <v>57000</v>
      </c>
      <c r="E38" s="36">
        <v>6979.44</v>
      </c>
      <c r="F38" s="36">
        <v>142500</v>
      </c>
      <c r="G38" s="99">
        <v>9968.24</v>
      </c>
      <c r="H38" s="60">
        <v>60000</v>
      </c>
      <c r="I38" s="55">
        <v>60000</v>
      </c>
      <c r="J38" s="258">
        <v>150000</v>
      </c>
      <c r="K38" s="259">
        <v>60000</v>
      </c>
      <c r="L38" s="259">
        <v>60000</v>
      </c>
      <c r="M38" s="260">
        <v>150000</v>
      </c>
      <c r="N38" s="261">
        <v>60000</v>
      </c>
      <c r="O38" s="262">
        <v>150000</v>
      </c>
    </row>
    <row r="39" spans="1:18" x14ac:dyDescent="0.25">
      <c r="A39" s="10" t="s">
        <v>51</v>
      </c>
      <c r="B39" s="191" t="s">
        <v>52</v>
      </c>
      <c r="C39" s="175">
        <v>27832.1</v>
      </c>
      <c r="D39" s="60">
        <v>95000</v>
      </c>
      <c r="E39" s="36">
        <v>19632.580000000002</v>
      </c>
      <c r="F39" s="36">
        <v>95000</v>
      </c>
      <c r="G39" s="99">
        <v>14128.75</v>
      </c>
      <c r="H39" s="60">
        <v>100000</v>
      </c>
      <c r="I39" s="55">
        <v>100000</v>
      </c>
      <c r="J39" s="258">
        <v>100000</v>
      </c>
      <c r="K39" s="259">
        <v>100000</v>
      </c>
      <c r="L39" s="259">
        <v>100000</v>
      </c>
      <c r="M39" s="260">
        <v>100000</v>
      </c>
      <c r="N39" s="261">
        <v>100000</v>
      </c>
      <c r="O39" s="262">
        <v>100000</v>
      </c>
    </row>
    <row r="40" spans="1:18" x14ac:dyDescent="0.25">
      <c r="A40" s="10" t="s">
        <v>53</v>
      </c>
      <c r="B40" s="191" t="s">
        <v>54</v>
      </c>
      <c r="C40" s="175">
        <v>82322.240000000005</v>
      </c>
      <c r="D40" s="60">
        <v>95000</v>
      </c>
      <c r="E40" s="36">
        <v>0</v>
      </c>
      <c r="F40" s="36">
        <v>82650</v>
      </c>
      <c r="G40" s="99">
        <v>62914.720000000001</v>
      </c>
      <c r="H40" s="60">
        <v>100000</v>
      </c>
      <c r="I40" s="55">
        <v>200000</v>
      </c>
      <c r="J40" s="258">
        <v>87000</v>
      </c>
      <c r="K40" s="259">
        <v>100000</v>
      </c>
      <c r="L40" s="259">
        <v>100000</v>
      </c>
      <c r="M40" s="260">
        <v>87000</v>
      </c>
      <c r="N40" s="261">
        <v>100000</v>
      </c>
      <c r="O40" s="262">
        <v>87000</v>
      </c>
    </row>
    <row r="41" spans="1:18" x14ac:dyDescent="0.25">
      <c r="A41" s="9" t="s">
        <v>55</v>
      </c>
      <c r="B41" s="190" t="s">
        <v>56</v>
      </c>
      <c r="C41" s="98">
        <f t="shared" ref="C41:N41" si="29">SUM(C42:C49)</f>
        <v>12239907.400000002</v>
      </c>
      <c r="D41" s="40">
        <f t="shared" si="29"/>
        <v>10870438</v>
      </c>
      <c r="E41" s="35">
        <f t="shared" si="29"/>
        <v>4187896.3499999996</v>
      </c>
      <c r="F41" s="27">
        <f>SUM(F42:F49)</f>
        <v>10720425</v>
      </c>
      <c r="G41" s="83">
        <f>SUM(G42:G49)</f>
        <v>7638216.0200000005</v>
      </c>
      <c r="H41" s="40">
        <f t="shared" si="29"/>
        <v>11250000</v>
      </c>
      <c r="I41" s="27">
        <f t="shared" si="29"/>
        <v>13400000</v>
      </c>
      <c r="J41" s="254">
        <f>SUM(J42:J49)</f>
        <v>12054000</v>
      </c>
      <c r="K41" s="255">
        <f t="shared" si="29"/>
        <v>10550000</v>
      </c>
      <c r="L41" s="255">
        <f t="shared" si="29"/>
        <v>13050000</v>
      </c>
      <c r="M41" s="254">
        <f>SUM(M42:M49)</f>
        <v>12125000</v>
      </c>
      <c r="N41" s="256">
        <f t="shared" si="29"/>
        <v>13250000</v>
      </c>
      <c r="O41" s="257">
        <f>SUM(O42:O49)</f>
        <v>12084000</v>
      </c>
      <c r="R41" s="401">
        <f>J45+J199+J237</f>
        <v>1400000</v>
      </c>
    </row>
    <row r="42" spans="1:18" x14ac:dyDescent="0.25">
      <c r="A42" s="10" t="s">
        <v>57</v>
      </c>
      <c r="B42" s="191" t="s">
        <v>58</v>
      </c>
      <c r="C42" s="175">
        <v>1356621.1</v>
      </c>
      <c r="D42" s="60">
        <v>760000</v>
      </c>
      <c r="E42" s="36">
        <v>622379.53</v>
      </c>
      <c r="F42" s="36">
        <v>2122925</v>
      </c>
      <c r="G42" s="99">
        <v>1836861.28</v>
      </c>
      <c r="H42" s="60">
        <v>800000</v>
      </c>
      <c r="I42" s="55">
        <v>1500000</v>
      </c>
      <c r="J42" s="258">
        <v>2000000</v>
      </c>
      <c r="K42" s="259">
        <v>800000</v>
      </c>
      <c r="L42" s="259">
        <v>1500000</v>
      </c>
      <c r="M42" s="260">
        <v>2000000</v>
      </c>
      <c r="N42" s="261">
        <v>1500000</v>
      </c>
      <c r="O42" s="262">
        <v>2000000</v>
      </c>
    </row>
    <row r="43" spans="1:18" x14ac:dyDescent="0.25">
      <c r="A43" s="10" t="s">
        <v>59</v>
      </c>
      <c r="B43" s="191" t="s">
        <v>60</v>
      </c>
      <c r="C43" s="175">
        <v>126980.65</v>
      </c>
      <c r="D43" s="60">
        <v>332500</v>
      </c>
      <c r="E43" s="36">
        <v>99035.95</v>
      </c>
      <c r="F43" s="36">
        <v>475000</v>
      </c>
      <c r="G43" s="99">
        <v>248620.42</v>
      </c>
      <c r="H43" s="60">
        <v>350000</v>
      </c>
      <c r="I43" s="55">
        <v>900000</v>
      </c>
      <c r="J43" s="258">
        <v>500000</v>
      </c>
      <c r="K43" s="259">
        <v>350000</v>
      </c>
      <c r="L43" s="259">
        <v>600000</v>
      </c>
      <c r="M43" s="260">
        <v>500000</v>
      </c>
      <c r="N43" s="261">
        <v>600000</v>
      </c>
      <c r="O43" s="262">
        <v>500000</v>
      </c>
      <c r="R43" s="203"/>
    </row>
    <row r="44" spans="1:18" x14ac:dyDescent="0.25">
      <c r="A44" s="10" t="s">
        <v>61</v>
      </c>
      <c r="B44" s="191" t="s">
        <v>62</v>
      </c>
      <c r="C44" s="175">
        <v>333174.83</v>
      </c>
      <c r="D44" s="60">
        <v>95000</v>
      </c>
      <c r="E44" s="36">
        <v>36248</v>
      </c>
      <c r="F44" s="36">
        <v>142500</v>
      </c>
      <c r="G44" s="99">
        <v>128094.84</v>
      </c>
      <c r="H44" s="60">
        <v>300000</v>
      </c>
      <c r="I44" s="55">
        <v>100000</v>
      </c>
      <c r="J44" s="258">
        <v>200000</v>
      </c>
      <c r="K44" s="259">
        <v>100000</v>
      </c>
      <c r="L44" s="259">
        <v>100000</v>
      </c>
      <c r="M44" s="260">
        <v>250000</v>
      </c>
      <c r="N44" s="261">
        <v>100000</v>
      </c>
      <c r="O44" s="262">
        <v>250000</v>
      </c>
      <c r="R44" s="203"/>
    </row>
    <row r="45" spans="1:18" x14ac:dyDescent="0.25">
      <c r="A45" s="10" t="s">
        <v>63</v>
      </c>
      <c r="B45" s="191" t="s">
        <v>64</v>
      </c>
      <c r="C45" s="175">
        <v>845399.38</v>
      </c>
      <c r="D45" s="60">
        <v>950000</v>
      </c>
      <c r="E45" s="36">
        <v>277377.71000000002</v>
      </c>
      <c r="F45" s="36">
        <v>475000</v>
      </c>
      <c r="G45" s="99">
        <v>294973.18</v>
      </c>
      <c r="H45" s="60">
        <v>900000</v>
      </c>
      <c r="I45" s="55">
        <v>1000000</v>
      </c>
      <c r="J45" s="258">
        <v>500000</v>
      </c>
      <c r="K45" s="259">
        <v>900000</v>
      </c>
      <c r="L45" s="259">
        <v>1000000</v>
      </c>
      <c r="M45" s="260">
        <v>500000</v>
      </c>
      <c r="N45" s="261">
        <v>1100000</v>
      </c>
      <c r="O45" s="262">
        <v>500000</v>
      </c>
    </row>
    <row r="46" spans="1:18" x14ac:dyDescent="0.25">
      <c r="A46" s="10" t="s">
        <v>65</v>
      </c>
      <c r="B46" s="191" t="s">
        <v>66</v>
      </c>
      <c r="C46" s="175">
        <v>7218947.9800000004</v>
      </c>
      <c r="D46" s="60">
        <v>7355438</v>
      </c>
      <c r="E46" s="36">
        <v>2383998.6800000002</v>
      </c>
      <c r="F46" s="36">
        <v>6175000</v>
      </c>
      <c r="G46" s="99">
        <v>4464096.62</v>
      </c>
      <c r="H46" s="60">
        <v>7500000</v>
      </c>
      <c r="I46" s="55">
        <v>8000000</v>
      </c>
      <c r="J46" s="258">
        <v>7134000</v>
      </c>
      <c r="K46" s="259">
        <v>7000000</v>
      </c>
      <c r="L46" s="259">
        <v>8000000</v>
      </c>
      <c r="M46" s="260">
        <v>7334000</v>
      </c>
      <c r="N46" s="261">
        <v>8000000</v>
      </c>
      <c r="O46" s="262">
        <v>7134000</v>
      </c>
    </row>
    <row r="47" spans="1:18" x14ac:dyDescent="0.25">
      <c r="A47" s="10" t="s">
        <v>67</v>
      </c>
      <c r="B47" s="191" t="s">
        <v>68</v>
      </c>
      <c r="C47" s="175">
        <v>30144</v>
      </c>
      <c r="D47" s="60">
        <v>237500</v>
      </c>
      <c r="E47" s="36">
        <v>138900</v>
      </c>
      <c r="F47" s="36">
        <v>380000</v>
      </c>
      <c r="G47" s="99">
        <v>2600</v>
      </c>
      <c r="H47" s="60">
        <v>200000</v>
      </c>
      <c r="I47" s="29">
        <v>250000</v>
      </c>
      <c r="J47" s="258">
        <v>520000</v>
      </c>
      <c r="K47" s="268">
        <v>200000</v>
      </c>
      <c r="L47" s="268">
        <v>200000</v>
      </c>
      <c r="M47" s="260">
        <v>150000</v>
      </c>
      <c r="N47" s="269">
        <v>250000</v>
      </c>
      <c r="O47" s="262">
        <v>500000</v>
      </c>
    </row>
    <row r="48" spans="1:18" x14ac:dyDescent="0.25">
      <c r="A48" s="10" t="s">
        <v>69</v>
      </c>
      <c r="B48" s="191" t="s">
        <v>70</v>
      </c>
      <c r="C48" s="175">
        <v>958114.74</v>
      </c>
      <c r="D48" s="60">
        <v>380000</v>
      </c>
      <c r="E48" s="36">
        <v>199679.76</v>
      </c>
      <c r="F48" s="36">
        <v>380000</v>
      </c>
      <c r="G48" s="99">
        <v>251861.57</v>
      </c>
      <c r="H48" s="60">
        <v>400000</v>
      </c>
      <c r="I48" s="29">
        <v>400000</v>
      </c>
      <c r="J48" s="258">
        <v>400000</v>
      </c>
      <c r="K48" s="268">
        <v>400000</v>
      </c>
      <c r="L48" s="268">
        <v>400000</v>
      </c>
      <c r="M48" s="260">
        <v>400000</v>
      </c>
      <c r="N48" s="269">
        <v>400000</v>
      </c>
      <c r="O48" s="262">
        <v>400000</v>
      </c>
      <c r="R48" s="203"/>
    </row>
    <row r="49" spans="1:17" x14ac:dyDescent="0.25">
      <c r="A49" s="10" t="s">
        <v>71</v>
      </c>
      <c r="B49" s="191" t="s">
        <v>72</v>
      </c>
      <c r="C49" s="175">
        <v>1370524.72</v>
      </c>
      <c r="D49" s="60">
        <v>760000</v>
      </c>
      <c r="E49" s="36">
        <v>430276.72</v>
      </c>
      <c r="F49" s="36">
        <v>570000</v>
      </c>
      <c r="G49" s="99">
        <v>411108.11</v>
      </c>
      <c r="H49" s="60">
        <v>800000</v>
      </c>
      <c r="I49" s="55">
        <v>1250000</v>
      </c>
      <c r="J49" s="258">
        <v>800000</v>
      </c>
      <c r="K49" s="259">
        <v>800000</v>
      </c>
      <c r="L49" s="259">
        <v>1250000</v>
      </c>
      <c r="M49" s="260">
        <v>991000</v>
      </c>
      <c r="N49" s="261">
        <v>1300000</v>
      </c>
      <c r="O49" s="262">
        <v>800000</v>
      </c>
      <c r="Q49" s="401">
        <f>J49+J203+J241</f>
        <v>2100000</v>
      </c>
    </row>
    <row r="50" spans="1:17" x14ac:dyDescent="0.25">
      <c r="A50" s="9" t="s">
        <v>73</v>
      </c>
      <c r="B50" s="190" t="s">
        <v>74</v>
      </c>
      <c r="C50" s="98">
        <f>SUM(C51)</f>
        <v>412</v>
      </c>
      <c r="D50" s="40">
        <f t="shared" ref="D50:O50" si="30">SUM(D51)</f>
        <v>10000</v>
      </c>
      <c r="E50" s="35">
        <f t="shared" si="30"/>
        <v>0</v>
      </c>
      <c r="F50" s="27">
        <f>SUM(F51)</f>
        <v>1000</v>
      </c>
      <c r="G50" s="83">
        <f>SUM(G51)</f>
        <v>0</v>
      </c>
      <c r="H50" s="40">
        <f>SUM(H51)</f>
        <v>10000</v>
      </c>
      <c r="I50" s="27">
        <f t="shared" si="30"/>
        <v>10000</v>
      </c>
      <c r="J50" s="254">
        <f>SUM(J51)</f>
        <v>1000</v>
      </c>
      <c r="K50" s="255">
        <f t="shared" si="30"/>
        <v>10000</v>
      </c>
      <c r="L50" s="255">
        <f t="shared" si="30"/>
        <v>10000</v>
      </c>
      <c r="M50" s="254">
        <f>SUM(M51)</f>
        <v>1000</v>
      </c>
      <c r="N50" s="256">
        <f t="shared" si="30"/>
        <v>10000</v>
      </c>
      <c r="O50" s="257">
        <f t="shared" si="30"/>
        <v>1000</v>
      </c>
      <c r="Q50" s="401">
        <f>J46+J128+J139+J200+J238</f>
        <v>12134000</v>
      </c>
    </row>
    <row r="51" spans="1:17" x14ac:dyDescent="0.25">
      <c r="A51" s="10" t="s">
        <v>75</v>
      </c>
      <c r="B51" s="191" t="s">
        <v>74</v>
      </c>
      <c r="C51" s="175">
        <v>412</v>
      </c>
      <c r="D51" s="60">
        <v>10000</v>
      </c>
      <c r="E51" s="36">
        <v>0</v>
      </c>
      <c r="F51" s="36">
        <v>1000</v>
      </c>
      <c r="G51" s="99">
        <v>0</v>
      </c>
      <c r="H51" s="60">
        <v>10000</v>
      </c>
      <c r="I51" s="29">
        <v>10000</v>
      </c>
      <c r="J51" s="258">
        <v>1000</v>
      </c>
      <c r="K51" s="268">
        <v>10000</v>
      </c>
      <c r="L51" s="268">
        <v>10000</v>
      </c>
      <c r="M51" s="260">
        <v>1000</v>
      </c>
      <c r="N51" s="269">
        <v>10000</v>
      </c>
      <c r="O51" s="262">
        <v>1000</v>
      </c>
    </row>
    <row r="52" spans="1:17" x14ac:dyDescent="0.25">
      <c r="A52" s="9" t="s">
        <v>76</v>
      </c>
      <c r="B52" s="190" t="s">
        <v>77</v>
      </c>
      <c r="C52" s="98">
        <f t="shared" ref="C52:O52" si="31">SUM(C53:C59)</f>
        <v>619741.34000000008</v>
      </c>
      <c r="D52" s="40">
        <f t="shared" si="31"/>
        <v>718200</v>
      </c>
      <c r="E52" s="35">
        <f t="shared" si="31"/>
        <v>172810.87</v>
      </c>
      <c r="F52" s="27">
        <f>SUM(F53:F59)</f>
        <v>882450</v>
      </c>
      <c r="G52" s="83">
        <f>SUM(G53:G59)</f>
        <v>317248.71000000002</v>
      </c>
      <c r="H52" s="40">
        <f t="shared" si="31"/>
        <v>756000</v>
      </c>
      <c r="I52" s="27">
        <f t="shared" si="31"/>
        <v>936000</v>
      </c>
      <c r="J52" s="254">
        <f>SUM(J53:J59)</f>
        <v>941000</v>
      </c>
      <c r="K52" s="255">
        <f t="shared" si="31"/>
        <v>756000</v>
      </c>
      <c r="L52" s="255">
        <f t="shared" si="31"/>
        <v>966000</v>
      </c>
      <c r="M52" s="254">
        <f>SUM(M53:M59)</f>
        <v>941000</v>
      </c>
      <c r="N52" s="256">
        <f t="shared" si="31"/>
        <v>966000</v>
      </c>
      <c r="O52" s="257">
        <f t="shared" si="31"/>
        <v>941000</v>
      </c>
    </row>
    <row r="53" spans="1:17" x14ac:dyDescent="0.25">
      <c r="A53" s="10" t="s">
        <v>78</v>
      </c>
      <c r="B53" s="191" t="s">
        <v>79</v>
      </c>
      <c r="C53" s="175">
        <v>131975.64000000001</v>
      </c>
      <c r="D53" s="60">
        <v>119700</v>
      </c>
      <c r="E53" s="36">
        <v>54989.85</v>
      </c>
      <c r="F53" s="36">
        <v>119700</v>
      </c>
      <c r="G53" s="99">
        <v>82548.08</v>
      </c>
      <c r="H53" s="60">
        <v>126000</v>
      </c>
      <c r="I53" s="29">
        <v>126000</v>
      </c>
      <c r="J53" s="258">
        <v>126000</v>
      </c>
      <c r="K53" s="268">
        <v>126000</v>
      </c>
      <c r="L53" s="268">
        <v>126000</v>
      </c>
      <c r="M53" s="260">
        <v>126000</v>
      </c>
      <c r="N53" s="269">
        <v>126000</v>
      </c>
      <c r="O53" s="262">
        <v>126000</v>
      </c>
    </row>
    <row r="54" spans="1:17" x14ac:dyDescent="0.25">
      <c r="A54" s="10" t="s">
        <v>80</v>
      </c>
      <c r="B54" s="191" t="s">
        <v>81</v>
      </c>
      <c r="C54" s="175">
        <v>140139.54</v>
      </c>
      <c r="D54" s="60">
        <v>161500</v>
      </c>
      <c r="E54" s="36">
        <v>7424.62</v>
      </c>
      <c r="F54" s="36">
        <v>142500</v>
      </c>
      <c r="G54" s="99">
        <v>25531.99</v>
      </c>
      <c r="H54" s="60">
        <v>170000</v>
      </c>
      <c r="I54" s="29">
        <v>250000</v>
      </c>
      <c r="J54" s="258">
        <v>150000</v>
      </c>
      <c r="K54" s="268">
        <v>170000</v>
      </c>
      <c r="L54" s="268">
        <v>230000</v>
      </c>
      <c r="M54" s="260">
        <v>150000</v>
      </c>
      <c r="N54" s="269">
        <v>230000</v>
      </c>
      <c r="O54" s="262">
        <v>150000</v>
      </c>
    </row>
    <row r="55" spans="1:17" x14ac:dyDescent="0.25">
      <c r="A55" s="10" t="s">
        <v>82</v>
      </c>
      <c r="B55" s="191" t="s">
        <v>83</v>
      </c>
      <c r="C55" s="175">
        <v>13635.81</v>
      </c>
      <c r="D55" s="60">
        <v>47500</v>
      </c>
      <c r="E55" s="36">
        <v>0</v>
      </c>
      <c r="F55" s="36">
        <v>28500</v>
      </c>
      <c r="G55" s="99">
        <v>0</v>
      </c>
      <c r="H55" s="60">
        <v>50000</v>
      </c>
      <c r="I55" s="29">
        <v>50000</v>
      </c>
      <c r="J55" s="258">
        <v>30000</v>
      </c>
      <c r="K55" s="268">
        <v>50000</v>
      </c>
      <c r="L55" s="268">
        <v>50000</v>
      </c>
      <c r="M55" s="260">
        <v>30000</v>
      </c>
      <c r="N55" s="269">
        <v>50000</v>
      </c>
      <c r="O55" s="262">
        <v>30000</v>
      </c>
    </row>
    <row r="56" spans="1:17" x14ac:dyDescent="0.25">
      <c r="A56" s="10" t="s">
        <v>84</v>
      </c>
      <c r="B56" s="191" t="s">
        <v>85</v>
      </c>
      <c r="C56" s="175">
        <v>32499.5</v>
      </c>
      <c r="D56" s="60">
        <v>47500</v>
      </c>
      <c r="E56" s="36">
        <v>0</v>
      </c>
      <c r="F56" s="36">
        <v>47500</v>
      </c>
      <c r="G56" s="99">
        <v>0</v>
      </c>
      <c r="H56" s="60">
        <v>50000</v>
      </c>
      <c r="I56" s="29">
        <v>50000</v>
      </c>
      <c r="J56" s="258">
        <v>50000</v>
      </c>
      <c r="K56" s="268">
        <v>50000</v>
      </c>
      <c r="L56" s="268">
        <v>50000</v>
      </c>
      <c r="M56" s="260">
        <v>50000</v>
      </c>
      <c r="N56" s="269">
        <v>50000</v>
      </c>
      <c r="O56" s="262">
        <v>50000</v>
      </c>
    </row>
    <row r="57" spans="1:17" x14ac:dyDescent="0.25">
      <c r="A57" s="10" t="s">
        <v>86</v>
      </c>
      <c r="B57" s="191" t="s">
        <v>87</v>
      </c>
      <c r="C57" s="175">
        <v>293160.84999999998</v>
      </c>
      <c r="D57" s="60">
        <v>285000</v>
      </c>
      <c r="E57" s="36">
        <v>108521.4</v>
      </c>
      <c r="F57" s="36">
        <v>361000</v>
      </c>
      <c r="G57" s="99">
        <v>167043.64000000001</v>
      </c>
      <c r="H57" s="60">
        <v>300000</v>
      </c>
      <c r="I57" s="29">
        <v>400000</v>
      </c>
      <c r="J57" s="258">
        <v>380000</v>
      </c>
      <c r="K57" s="268">
        <v>300000</v>
      </c>
      <c r="L57" s="268">
        <v>450000</v>
      </c>
      <c r="M57" s="260">
        <v>380000</v>
      </c>
      <c r="N57" s="269">
        <v>450000</v>
      </c>
      <c r="O57" s="262">
        <v>380000</v>
      </c>
    </row>
    <row r="58" spans="1:17" x14ac:dyDescent="0.25">
      <c r="A58" s="10" t="s">
        <v>88</v>
      </c>
      <c r="B58" s="191" t="s">
        <v>89</v>
      </c>
      <c r="C58" s="175">
        <v>0</v>
      </c>
      <c r="D58" s="60">
        <v>47500</v>
      </c>
      <c r="E58" s="36">
        <v>0</v>
      </c>
      <c r="F58" s="36">
        <v>178500</v>
      </c>
      <c r="G58" s="99">
        <v>41025</v>
      </c>
      <c r="H58" s="60">
        <v>50000</v>
      </c>
      <c r="I58" s="29">
        <v>50000</v>
      </c>
      <c r="J58" s="258">
        <v>200000</v>
      </c>
      <c r="K58" s="268">
        <v>50000</v>
      </c>
      <c r="L58" s="268">
        <v>50000</v>
      </c>
      <c r="M58" s="260">
        <v>200000</v>
      </c>
      <c r="N58" s="269">
        <v>50000</v>
      </c>
      <c r="O58" s="262">
        <v>200000</v>
      </c>
    </row>
    <row r="59" spans="1:17" x14ac:dyDescent="0.25">
      <c r="A59" s="10" t="s">
        <v>90</v>
      </c>
      <c r="B59" s="191" t="s">
        <v>77</v>
      </c>
      <c r="C59" s="175">
        <v>8330</v>
      </c>
      <c r="D59" s="60">
        <v>9500</v>
      </c>
      <c r="E59" s="36">
        <v>1875</v>
      </c>
      <c r="F59" s="36">
        <v>4750</v>
      </c>
      <c r="G59" s="99">
        <v>1100</v>
      </c>
      <c r="H59" s="60">
        <v>10000</v>
      </c>
      <c r="I59" s="29">
        <v>10000</v>
      </c>
      <c r="J59" s="258">
        <v>5000</v>
      </c>
      <c r="K59" s="268">
        <v>10000</v>
      </c>
      <c r="L59" s="268">
        <v>10000</v>
      </c>
      <c r="M59" s="260">
        <v>5000</v>
      </c>
      <c r="N59" s="269">
        <v>10000</v>
      </c>
      <c r="O59" s="262">
        <v>5000</v>
      </c>
    </row>
    <row r="60" spans="1:17" x14ac:dyDescent="0.25">
      <c r="A60" s="52" t="s">
        <v>159</v>
      </c>
      <c r="B60" s="189" t="s">
        <v>166</v>
      </c>
      <c r="C60" s="130"/>
      <c r="D60" s="67"/>
      <c r="E60" s="79"/>
      <c r="F60" s="54">
        <f>F61</f>
        <v>39000</v>
      </c>
      <c r="G60" s="148">
        <f>G61</f>
        <v>17840.420000000002</v>
      </c>
      <c r="H60" s="67">
        <f>H61</f>
        <v>30000</v>
      </c>
      <c r="I60" s="54">
        <f>I61</f>
        <v>30000</v>
      </c>
      <c r="J60" s="263">
        <f>SUM(J61)</f>
        <v>74000</v>
      </c>
      <c r="K60" s="264">
        <f>K61</f>
        <v>30000</v>
      </c>
      <c r="L60" s="264">
        <f>L61</f>
        <v>30000</v>
      </c>
      <c r="M60" s="263">
        <f>SUM(M61)</f>
        <v>54000</v>
      </c>
      <c r="N60" s="265">
        <f>N61</f>
        <v>30000</v>
      </c>
      <c r="O60" s="270">
        <f>O61</f>
        <v>54000</v>
      </c>
    </row>
    <row r="61" spans="1:17" x14ac:dyDescent="0.25">
      <c r="A61" s="9" t="s">
        <v>91</v>
      </c>
      <c r="B61" s="190" t="s">
        <v>92</v>
      </c>
      <c r="C61" s="98">
        <f t="shared" ref="C61:E61" si="32">SUM(C62:C64)</f>
        <v>2627.8</v>
      </c>
      <c r="D61" s="40">
        <f t="shared" si="32"/>
        <v>28500</v>
      </c>
      <c r="E61" s="35">
        <f t="shared" si="32"/>
        <v>1772.53</v>
      </c>
      <c r="F61" s="27">
        <f>SUM(F62:F64)</f>
        <v>39000</v>
      </c>
      <c r="G61" s="83">
        <f>SUM(G62:G64)</f>
        <v>17840.420000000002</v>
      </c>
      <c r="H61" s="40">
        <f>SUM(H62:H64)</f>
        <v>30000</v>
      </c>
      <c r="I61" s="27">
        <f>SUM(I62:I64)</f>
        <v>30000</v>
      </c>
      <c r="J61" s="254">
        <f>SUM(J62:J64)</f>
        <v>74000</v>
      </c>
      <c r="K61" s="255">
        <f t="shared" ref="K61:O61" si="33">SUM(K62:K64)</f>
        <v>30000</v>
      </c>
      <c r="L61" s="255">
        <f t="shared" si="33"/>
        <v>30000</v>
      </c>
      <c r="M61" s="254">
        <f>SUM(M62:M64)</f>
        <v>54000</v>
      </c>
      <c r="N61" s="256">
        <f t="shared" ref="N61" si="34">SUM(N62:N64)</f>
        <v>30000</v>
      </c>
      <c r="O61" s="257">
        <f t="shared" si="33"/>
        <v>54000</v>
      </c>
    </row>
    <row r="62" spans="1:17" x14ac:dyDescent="0.25">
      <c r="A62" s="10" t="s">
        <v>93</v>
      </c>
      <c r="B62" s="191" t="s">
        <v>94</v>
      </c>
      <c r="C62" s="175">
        <v>477.67</v>
      </c>
      <c r="D62" s="60">
        <v>9500</v>
      </c>
      <c r="E62" s="36">
        <v>0</v>
      </c>
      <c r="F62" s="36">
        <v>2000</v>
      </c>
      <c r="G62" s="99">
        <v>16.52</v>
      </c>
      <c r="H62" s="60">
        <v>10000</v>
      </c>
      <c r="I62" s="29">
        <v>10000</v>
      </c>
      <c r="J62" s="258">
        <v>2000</v>
      </c>
      <c r="K62" s="268">
        <v>10000</v>
      </c>
      <c r="L62" s="268">
        <v>10000</v>
      </c>
      <c r="M62" s="260">
        <v>2000</v>
      </c>
      <c r="N62" s="269">
        <v>10000</v>
      </c>
      <c r="O62" s="262">
        <v>2000</v>
      </c>
    </row>
    <row r="63" spans="1:17" x14ac:dyDescent="0.25">
      <c r="A63" s="10" t="s">
        <v>95</v>
      </c>
      <c r="B63" s="191" t="s">
        <v>96</v>
      </c>
      <c r="C63" s="175">
        <v>2150.13</v>
      </c>
      <c r="D63" s="60">
        <v>9500</v>
      </c>
      <c r="E63" s="36">
        <v>1772.53</v>
      </c>
      <c r="F63" s="36">
        <v>35000</v>
      </c>
      <c r="G63" s="99">
        <v>17823.900000000001</v>
      </c>
      <c r="H63" s="60">
        <v>10000</v>
      </c>
      <c r="I63" s="29">
        <v>10000</v>
      </c>
      <c r="J63" s="258">
        <v>70000</v>
      </c>
      <c r="K63" s="268">
        <v>10000</v>
      </c>
      <c r="L63" s="268">
        <v>10000</v>
      </c>
      <c r="M63" s="260">
        <v>50000</v>
      </c>
      <c r="N63" s="269">
        <v>10000</v>
      </c>
      <c r="O63" s="262">
        <v>50000</v>
      </c>
    </row>
    <row r="64" spans="1:17" x14ac:dyDescent="0.25">
      <c r="A64" s="10" t="s">
        <v>97</v>
      </c>
      <c r="B64" s="191" t="s">
        <v>98</v>
      </c>
      <c r="C64" s="175">
        <v>0</v>
      </c>
      <c r="D64" s="60">
        <v>9500</v>
      </c>
      <c r="E64" s="36">
        <v>0</v>
      </c>
      <c r="F64" s="36">
        <v>2000</v>
      </c>
      <c r="G64" s="99">
        <v>0</v>
      </c>
      <c r="H64" s="60">
        <v>10000</v>
      </c>
      <c r="I64" s="29">
        <v>10000</v>
      </c>
      <c r="J64" s="258">
        <v>2000</v>
      </c>
      <c r="K64" s="268">
        <v>10000</v>
      </c>
      <c r="L64" s="268">
        <v>10000</v>
      </c>
      <c r="M64" s="260">
        <v>2000</v>
      </c>
      <c r="N64" s="269">
        <v>10000</v>
      </c>
      <c r="O64" s="262">
        <v>2000</v>
      </c>
    </row>
    <row r="65" spans="1:18" x14ac:dyDescent="0.25">
      <c r="A65" s="52" t="s">
        <v>156</v>
      </c>
      <c r="B65" s="189" t="s">
        <v>102</v>
      </c>
      <c r="C65" s="130"/>
      <c r="D65" s="67"/>
      <c r="E65" s="79"/>
      <c r="F65" s="54">
        <f>F66</f>
        <v>0</v>
      </c>
      <c r="G65" s="148">
        <f>G66</f>
        <v>0</v>
      </c>
      <c r="H65" s="67">
        <f>H66</f>
        <v>50000</v>
      </c>
      <c r="I65" s="54">
        <f>I66</f>
        <v>100000</v>
      </c>
      <c r="J65" s="263">
        <f>SUM(J66)</f>
        <v>0</v>
      </c>
      <c r="K65" s="271">
        <f>K66</f>
        <v>50000</v>
      </c>
      <c r="L65" s="264">
        <f>L66</f>
        <v>100000</v>
      </c>
      <c r="M65" s="272">
        <f>SUM(M66)</f>
        <v>0</v>
      </c>
      <c r="N65" s="265">
        <f>N66</f>
        <v>100000</v>
      </c>
      <c r="O65" s="270">
        <f>O66</f>
        <v>0</v>
      </c>
    </row>
    <row r="66" spans="1:18" x14ac:dyDescent="0.25">
      <c r="A66" s="9" t="s">
        <v>99</v>
      </c>
      <c r="B66" s="190" t="s">
        <v>100</v>
      </c>
      <c r="C66" s="98">
        <f>SUM(C67)</f>
        <v>0</v>
      </c>
      <c r="D66" s="40">
        <f t="shared" ref="D66:O66" si="35">SUM(D67)</f>
        <v>95000</v>
      </c>
      <c r="E66" s="35">
        <f t="shared" si="35"/>
        <v>0</v>
      </c>
      <c r="F66" s="27">
        <f>SUM(F67)</f>
        <v>0</v>
      </c>
      <c r="G66" s="83">
        <f>SUM(G67)</f>
        <v>0</v>
      </c>
      <c r="H66" s="40">
        <f>SUM(H67)</f>
        <v>50000</v>
      </c>
      <c r="I66" s="27">
        <f t="shared" si="35"/>
        <v>100000</v>
      </c>
      <c r="J66" s="254">
        <f>SUM(J67)</f>
        <v>0</v>
      </c>
      <c r="K66" s="255">
        <f t="shared" si="35"/>
        <v>50000</v>
      </c>
      <c r="L66" s="255">
        <f t="shared" si="35"/>
        <v>100000</v>
      </c>
      <c r="M66" s="254">
        <f>SUM(M67)</f>
        <v>0</v>
      </c>
      <c r="N66" s="256">
        <f t="shared" si="35"/>
        <v>100000</v>
      </c>
      <c r="O66" s="257">
        <f t="shared" si="35"/>
        <v>0</v>
      </c>
    </row>
    <row r="67" spans="1:18" x14ac:dyDescent="0.25">
      <c r="A67" s="10" t="s">
        <v>101</v>
      </c>
      <c r="B67" s="191" t="s">
        <v>102</v>
      </c>
      <c r="C67" s="175">
        <v>0</v>
      </c>
      <c r="D67" s="60">
        <v>95000</v>
      </c>
      <c r="E67" s="36">
        <v>0</v>
      </c>
      <c r="F67" s="36">
        <v>0</v>
      </c>
      <c r="G67" s="99">
        <v>0</v>
      </c>
      <c r="H67" s="60">
        <v>50000</v>
      </c>
      <c r="I67" s="29">
        <v>100000</v>
      </c>
      <c r="J67" s="258">
        <v>0</v>
      </c>
      <c r="K67" s="268">
        <v>50000</v>
      </c>
      <c r="L67" s="268">
        <v>100000</v>
      </c>
      <c r="M67" s="260">
        <v>0</v>
      </c>
      <c r="N67" s="269">
        <v>100000</v>
      </c>
      <c r="O67" s="262">
        <v>0</v>
      </c>
    </row>
    <row r="68" spans="1:18" x14ac:dyDescent="0.25">
      <c r="A68" s="52" t="s">
        <v>190</v>
      </c>
      <c r="B68" s="189" t="s">
        <v>191</v>
      </c>
      <c r="C68" s="130"/>
      <c r="D68" s="67"/>
      <c r="E68" s="79"/>
      <c r="F68" s="54">
        <f>F69</f>
        <v>25700</v>
      </c>
      <c r="G68" s="148">
        <f>G69</f>
        <v>25660</v>
      </c>
      <c r="H68" s="67">
        <f>H71</f>
        <v>0</v>
      </c>
      <c r="I68" s="54">
        <f>I71</f>
        <v>0</v>
      </c>
      <c r="J68" s="263">
        <f>J69</f>
        <v>130000</v>
      </c>
      <c r="K68" s="271">
        <f>K71</f>
        <v>0</v>
      </c>
      <c r="L68" s="264">
        <f>L71</f>
        <v>0</v>
      </c>
      <c r="M68" s="263">
        <f t="shared" ref="M68:O68" si="36">M69</f>
        <v>180000</v>
      </c>
      <c r="N68" s="263">
        <f t="shared" si="36"/>
        <v>0</v>
      </c>
      <c r="O68" s="263">
        <f t="shared" si="36"/>
        <v>130000</v>
      </c>
    </row>
    <row r="69" spans="1:18" x14ac:dyDescent="0.25">
      <c r="A69" s="9" t="s">
        <v>198</v>
      </c>
      <c r="B69" s="190" t="s">
        <v>199</v>
      </c>
      <c r="C69" s="98">
        <f>SUM(C70)</f>
        <v>0</v>
      </c>
      <c r="D69" s="40">
        <f t="shared" ref="D69:L69" si="37">SUM(D70)</f>
        <v>0</v>
      </c>
      <c r="E69" s="35">
        <f t="shared" si="37"/>
        <v>0</v>
      </c>
      <c r="F69" s="27">
        <f>SUM(F70)</f>
        <v>25700</v>
      </c>
      <c r="G69" s="83">
        <f>SUM(G70)</f>
        <v>25660</v>
      </c>
      <c r="H69" s="40">
        <f>SUM(H70)</f>
        <v>0</v>
      </c>
      <c r="I69" s="27">
        <f t="shared" si="37"/>
        <v>0</v>
      </c>
      <c r="J69" s="254">
        <f>J70+J71</f>
        <v>130000</v>
      </c>
      <c r="K69" s="255">
        <f t="shared" si="37"/>
        <v>0</v>
      </c>
      <c r="L69" s="255">
        <f t="shared" si="37"/>
        <v>0</v>
      </c>
      <c r="M69" s="254">
        <f t="shared" ref="M69:O69" si="38">M70+M71</f>
        <v>180000</v>
      </c>
      <c r="N69" s="254">
        <f t="shared" si="38"/>
        <v>0</v>
      </c>
      <c r="O69" s="254">
        <f t="shared" si="38"/>
        <v>130000</v>
      </c>
    </row>
    <row r="70" spans="1:18" x14ac:dyDescent="0.25">
      <c r="A70" s="10" t="s">
        <v>192</v>
      </c>
      <c r="B70" s="191" t="s">
        <v>193</v>
      </c>
      <c r="C70" s="175"/>
      <c r="D70" s="60"/>
      <c r="E70" s="36"/>
      <c r="F70" s="36">
        <v>25700</v>
      </c>
      <c r="G70" s="99">
        <v>25660</v>
      </c>
      <c r="H70" s="60"/>
      <c r="I70" s="29"/>
      <c r="J70" s="258">
        <v>30000</v>
      </c>
      <c r="K70" s="369"/>
      <c r="L70" s="268"/>
      <c r="M70" s="260">
        <v>30000</v>
      </c>
      <c r="N70" s="269"/>
      <c r="O70" s="262">
        <v>30000</v>
      </c>
    </row>
    <row r="71" spans="1:18" x14ac:dyDescent="0.25">
      <c r="A71" s="10" t="s">
        <v>200</v>
      </c>
      <c r="B71" s="191" t="s">
        <v>201</v>
      </c>
      <c r="C71" s="175"/>
      <c r="D71" s="60"/>
      <c r="E71" s="36"/>
      <c r="F71" s="36">
        <v>0</v>
      </c>
      <c r="G71" s="99">
        <v>0</v>
      </c>
      <c r="H71" s="60"/>
      <c r="I71" s="29"/>
      <c r="J71" s="258">
        <v>100000</v>
      </c>
      <c r="K71" s="369"/>
      <c r="L71" s="268"/>
      <c r="M71" s="260">
        <v>150000</v>
      </c>
      <c r="N71" s="269"/>
      <c r="O71" s="262">
        <v>100000</v>
      </c>
    </row>
    <row r="72" spans="1:18" x14ac:dyDescent="0.25">
      <c r="A72" s="52" t="s">
        <v>157</v>
      </c>
      <c r="B72" s="189" t="s">
        <v>167</v>
      </c>
      <c r="C72" s="130"/>
      <c r="D72" s="67"/>
      <c r="E72" s="79"/>
      <c r="F72" s="54">
        <f t="shared" ref="F72:L72" si="39">F73+F76</f>
        <v>190000</v>
      </c>
      <c r="G72" s="148">
        <f t="shared" si="39"/>
        <v>126017.55</v>
      </c>
      <c r="H72" s="67">
        <f t="shared" si="39"/>
        <v>50000</v>
      </c>
      <c r="I72" s="54">
        <f t="shared" si="39"/>
        <v>450000</v>
      </c>
      <c r="J72" s="263">
        <f t="shared" si="39"/>
        <v>100000</v>
      </c>
      <c r="K72" s="271">
        <f t="shared" si="39"/>
        <v>50000</v>
      </c>
      <c r="L72" s="264">
        <f t="shared" si="39"/>
        <v>100000</v>
      </c>
      <c r="M72" s="263">
        <f>M73+M76</f>
        <v>179970</v>
      </c>
      <c r="N72" s="265">
        <f t="shared" ref="N72:O72" si="40">N73+N76</f>
        <v>900000</v>
      </c>
      <c r="O72" s="270">
        <f t="shared" si="40"/>
        <v>2600000</v>
      </c>
      <c r="Q72" s="401">
        <f>J72+J113+J116+J130+J141+J207+J245+J275+J298</f>
        <v>9621124</v>
      </c>
      <c r="R72" s="401">
        <f>M72+M113+M116+M130+M141+M172+M207+M245+M275+M298</f>
        <v>9419439</v>
      </c>
    </row>
    <row r="73" spans="1:18" x14ac:dyDescent="0.25">
      <c r="A73" s="9" t="s">
        <v>103</v>
      </c>
      <c r="B73" s="190" t="s">
        <v>104</v>
      </c>
      <c r="C73" s="98">
        <f>SUM(C74)</f>
        <v>26843.88</v>
      </c>
      <c r="D73" s="40">
        <f t="shared" ref="D73:L73" si="41">SUM(D74)</f>
        <v>100000</v>
      </c>
      <c r="E73" s="35">
        <f t="shared" si="41"/>
        <v>100000</v>
      </c>
      <c r="F73" s="27">
        <f>SUM(F74)</f>
        <v>190000</v>
      </c>
      <c r="G73" s="83">
        <f>SUM(G74)</f>
        <v>126017.55</v>
      </c>
      <c r="H73" s="40">
        <f>SUM(H74)</f>
        <v>50000</v>
      </c>
      <c r="I73" s="27">
        <f t="shared" si="41"/>
        <v>450000</v>
      </c>
      <c r="J73" s="254">
        <f>J74+J75</f>
        <v>100000</v>
      </c>
      <c r="K73" s="255">
        <f t="shared" si="41"/>
        <v>50000</v>
      </c>
      <c r="L73" s="255">
        <f t="shared" si="41"/>
        <v>100000</v>
      </c>
      <c r="M73" s="254">
        <f t="shared" ref="M73:O73" si="42">M74+M75</f>
        <v>179970</v>
      </c>
      <c r="N73" s="254">
        <f t="shared" si="42"/>
        <v>100000</v>
      </c>
      <c r="O73" s="254">
        <f t="shared" si="42"/>
        <v>100000</v>
      </c>
      <c r="R73" s="401">
        <f>O72+O113+O116+O130+O141+O172+O207+O245+O275+O298</f>
        <v>13028749</v>
      </c>
    </row>
    <row r="74" spans="1:18" x14ac:dyDescent="0.25">
      <c r="A74" s="10" t="s">
        <v>105</v>
      </c>
      <c r="B74" s="191" t="s">
        <v>106</v>
      </c>
      <c r="C74" s="175">
        <v>26843.88</v>
      </c>
      <c r="D74" s="60">
        <v>100000</v>
      </c>
      <c r="E74" s="36">
        <v>100000</v>
      </c>
      <c r="F74" s="36">
        <v>190000</v>
      </c>
      <c r="G74" s="99">
        <v>126017.55</v>
      </c>
      <c r="H74" s="60">
        <v>50000</v>
      </c>
      <c r="I74" s="29">
        <v>450000</v>
      </c>
      <c r="J74" s="258">
        <v>70000</v>
      </c>
      <c r="K74" s="268">
        <v>50000</v>
      </c>
      <c r="L74" s="268">
        <v>100000</v>
      </c>
      <c r="M74" s="260">
        <v>149000</v>
      </c>
      <c r="N74" s="269">
        <v>100000</v>
      </c>
      <c r="O74" s="262">
        <v>70000</v>
      </c>
    </row>
    <row r="75" spans="1:18" x14ac:dyDescent="0.25">
      <c r="A75" s="10" t="s">
        <v>202</v>
      </c>
      <c r="B75" s="191" t="s">
        <v>122</v>
      </c>
      <c r="C75" s="175"/>
      <c r="D75" s="60"/>
      <c r="E75" s="36"/>
      <c r="F75" s="36"/>
      <c r="G75" s="99"/>
      <c r="H75" s="60"/>
      <c r="I75" s="29"/>
      <c r="J75" s="258">
        <v>30000</v>
      </c>
      <c r="K75" s="268"/>
      <c r="L75" s="268"/>
      <c r="M75" s="260">
        <v>30970</v>
      </c>
      <c r="N75" s="269"/>
      <c r="O75" s="262">
        <v>30000</v>
      </c>
    </row>
    <row r="76" spans="1:18" x14ac:dyDescent="0.25">
      <c r="A76" s="9" t="s">
        <v>107</v>
      </c>
      <c r="B76" s="190" t="s">
        <v>108</v>
      </c>
      <c r="C76" s="98">
        <f>SUM(C77)</f>
        <v>0</v>
      </c>
      <c r="D76" s="40">
        <f>SUM(D77)</f>
        <v>800000</v>
      </c>
      <c r="E76" s="35">
        <f t="shared" ref="E76" si="43">SUM(E77)</f>
        <v>0</v>
      </c>
      <c r="F76" s="27">
        <f>F77</f>
        <v>0</v>
      </c>
      <c r="G76" s="83">
        <f>G77</f>
        <v>0</v>
      </c>
      <c r="H76" s="40">
        <f>H77</f>
        <v>0</v>
      </c>
      <c r="I76" s="27">
        <f t="shared" ref="I76:O76" si="44">SUM(I77)</f>
        <v>0</v>
      </c>
      <c r="J76" s="254">
        <f t="shared" si="44"/>
        <v>0</v>
      </c>
      <c r="K76" s="255">
        <f t="shared" si="44"/>
        <v>0</v>
      </c>
      <c r="L76" s="255">
        <f t="shared" si="44"/>
        <v>0</v>
      </c>
      <c r="M76" s="267">
        <f t="shared" si="44"/>
        <v>0</v>
      </c>
      <c r="N76" s="256">
        <f t="shared" si="44"/>
        <v>800000</v>
      </c>
      <c r="O76" s="257">
        <f t="shared" si="44"/>
        <v>2500000</v>
      </c>
    </row>
    <row r="77" spans="1:18" x14ac:dyDescent="0.25">
      <c r="A77" s="10" t="s">
        <v>146</v>
      </c>
      <c r="B77" s="191" t="s">
        <v>109</v>
      </c>
      <c r="C77" s="175">
        <v>0</v>
      </c>
      <c r="D77" s="60">
        <v>800000</v>
      </c>
      <c r="E77" s="36">
        <v>0</v>
      </c>
      <c r="F77" s="36">
        <v>0</v>
      </c>
      <c r="G77" s="99">
        <v>0</v>
      </c>
      <c r="H77" s="60">
        <v>0</v>
      </c>
      <c r="I77" s="29">
        <v>0</v>
      </c>
      <c r="J77" s="258">
        <v>0</v>
      </c>
      <c r="K77" s="268">
        <v>0</v>
      </c>
      <c r="L77" s="268">
        <v>0</v>
      </c>
      <c r="M77" s="260">
        <v>0</v>
      </c>
      <c r="N77" s="269">
        <v>800000</v>
      </c>
      <c r="O77" s="262">
        <v>2500000</v>
      </c>
    </row>
    <row r="78" spans="1:18" x14ac:dyDescent="0.25">
      <c r="A78" s="8" t="s">
        <v>7</v>
      </c>
      <c r="B78" s="184" t="s">
        <v>8</v>
      </c>
      <c r="C78" s="129">
        <f>SUM(C79)</f>
        <v>282070.21999999997</v>
      </c>
      <c r="D78" s="39">
        <f t="shared" ref="D78:O79" si="45">SUM(D79)</f>
        <v>300000</v>
      </c>
      <c r="E78" s="34">
        <f t="shared" si="45"/>
        <v>26056.61</v>
      </c>
      <c r="F78" s="26">
        <f>F79</f>
        <v>200000</v>
      </c>
      <c r="G78" s="86">
        <f>G79</f>
        <v>56127.839999999997</v>
      </c>
      <c r="H78" s="39">
        <f>H79</f>
        <v>300000</v>
      </c>
      <c r="I78" s="26">
        <f>SUM(I79)</f>
        <v>300000</v>
      </c>
      <c r="J78" s="247">
        <f>J79+J81</f>
        <v>300000</v>
      </c>
      <c r="K78" s="248">
        <f t="shared" ref="K78:N78" si="46">SUM(K79)</f>
        <v>300000</v>
      </c>
      <c r="L78" s="248">
        <f t="shared" si="46"/>
        <v>300000</v>
      </c>
      <c r="M78" s="273">
        <f>M79+M81</f>
        <v>300000</v>
      </c>
      <c r="N78" s="249">
        <f t="shared" si="46"/>
        <v>300000</v>
      </c>
      <c r="O78" s="247">
        <f>O79+O81</f>
        <v>300000</v>
      </c>
    </row>
    <row r="79" spans="1:18" x14ac:dyDescent="0.25">
      <c r="A79" s="9" t="s">
        <v>43</v>
      </c>
      <c r="B79" s="190" t="s">
        <v>44</v>
      </c>
      <c r="C79" s="98">
        <f>SUM(C80)</f>
        <v>282070.21999999997</v>
      </c>
      <c r="D79" s="40">
        <f t="shared" si="45"/>
        <v>300000</v>
      </c>
      <c r="E79" s="35">
        <f t="shared" si="45"/>
        <v>26056.61</v>
      </c>
      <c r="F79" s="27">
        <f>SUM(F80)</f>
        <v>200000</v>
      </c>
      <c r="G79" s="83">
        <f>SUM(G80)</f>
        <v>56127.839999999997</v>
      </c>
      <c r="H79" s="40">
        <f>SUM(H80)</f>
        <v>300000</v>
      </c>
      <c r="I79" s="27">
        <f t="shared" si="45"/>
        <v>300000</v>
      </c>
      <c r="J79" s="254">
        <f>SUM(J80)</f>
        <v>300000</v>
      </c>
      <c r="K79" s="255">
        <f t="shared" si="45"/>
        <v>300000</v>
      </c>
      <c r="L79" s="255">
        <f t="shared" si="45"/>
        <v>300000</v>
      </c>
      <c r="M79" s="254">
        <f>SUM(M80)</f>
        <v>300000</v>
      </c>
      <c r="N79" s="256">
        <f t="shared" si="45"/>
        <v>300000</v>
      </c>
      <c r="O79" s="257">
        <f t="shared" si="45"/>
        <v>300000</v>
      </c>
    </row>
    <row r="80" spans="1:18" x14ac:dyDescent="0.25">
      <c r="A80" s="10" t="s">
        <v>110</v>
      </c>
      <c r="B80" s="191" t="s">
        <v>111</v>
      </c>
      <c r="C80" s="175">
        <v>282070.21999999997</v>
      </c>
      <c r="D80" s="60">
        <v>300000</v>
      </c>
      <c r="E80" s="36">
        <v>26056.61</v>
      </c>
      <c r="F80" s="36">
        <v>200000</v>
      </c>
      <c r="G80" s="99">
        <v>56127.839999999997</v>
      </c>
      <c r="H80" s="60">
        <v>300000</v>
      </c>
      <c r="I80" s="29">
        <v>300000</v>
      </c>
      <c r="J80" s="258">
        <v>300000</v>
      </c>
      <c r="K80" s="268">
        <v>300000</v>
      </c>
      <c r="L80" s="268">
        <v>300000</v>
      </c>
      <c r="M80" s="260">
        <v>300000</v>
      </c>
      <c r="N80" s="269">
        <v>300000</v>
      </c>
      <c r="O80" s="262">
        <v>300000</v>
      </c>
    </row>
    <row r="81" spans="1:17" x14ac:dyDescent="0.25">
      <c r="A81" s="9" t="s">
        <v>76</v>
      </c>
      <c r="B81" s="190" t="s">
        <v>77</v>
      </c>
      <c r="C81" s="175"/>
      <c r="D81" s="60"/>
      <c r="E81" s="36"/>
      <c r="F81" s="217"/>
      <c r="G81" s="218"/>
      <c r="H81" s="219"/>
      <c r="I81" s="220"/>
      <c r="J81" s="274">
        <f>SUM(J82)</f>
        <v>0</v>
      </c>
      <c r="K81" s="275"/>
      <c r="L81" s="275"/>
      <c r="M81" s="274">
        <f>M82</f>
        <v>0</v>
      </c>
      <c r="N81" s="276"/>
      <c r="O81" s="277">
        <f>O82</f>
        <v>0</v>
      </c>
    </row>
    <row r="82" spans="1:17" x14ac:dyDescent="0.25">
      <c r="A82" s="13" t="s">
        <v>90</v>
      </c>
      <c r="B82" s="191" t="s">
        <v>77</v>
      </c>
      <c r="C82" s="175"/>
      <c r="D82" s="60"/>
      <c r="E82" s="36"/>
      <c r="F82" s="36"/>
      <c r="G82" s="99"/>
      <c r="H82" s="60"/>
      <c r="I82" s="29"/>
      <c r="J82" s="260"/>
      <c r="K82" s="268"/>
      <c r="L82" s="268"/>
      <c r="M82" s="260"/>
      <c r="N82" s="269"/>
      <c r="O82" s="262"/>
    </row>
    <row r="83" spans="1:17" x14ac:dyDescent="0.25">
      <c r="A83" s="8" t="s">
        <v>9</v>
      </c>
      <c r="B83" s="184" t="s">
        <v>10</v>
      </c>
      <c r="C83" s="129">
        <f>SUM(C84)</f>
        <v>99918</v>
      </c>
      <c r="D83" s="39">
        <f t="shared" ref="D83:L84" si="47">SUM(D84)</f>
        <v>160000</v>
      </c>
      <c r="E83" s="34">
        <f t="shared" si="47"/>
        <v>0</v>
      </c>
      <c r="F83" s="26">
        <f>F84</f>
        <v>60000</v>
      </c>
      <c r="G83" s="86">
        <f>G84</f>
        <v>0</v>
      </c>
      <c r="H83" s="39">
        <f>H84</f>
        <v>160000</v>
      </c>
      <c r="I83" s="26">
        <f>SUM(I84)</f>
        <v>160000</v>
      </c>
      <c r="J83" s="247">
        <f>J84</f>
        <v>160000</v>
      </c>
      <c r="K83" s="248">
        <f t="shared" ref="K83:O83" si="48">SUM(K84)</f>
        <v>160000</v>
      </c>
      <c r="L83" s="248">
        <f t="shared" si="48"/>
        <v>160000</v>
      </c>
      <c r="M83" s="273">
        <f>M84</f>
        <v>160000</v>
      </c>
      <c r="N83" s="249">
        <f t="shared" si="48"/>
        <v>160000</v>
      </c>
      <c r="O83" s="247">
        <f t="shared" si="48"/>
        <v>160000</v>
      </c>
    </row>
    <row r="84" spans="1:17" x14ac:dyDescent="0.25">
      <c r="A84" s="9" t="s">
        <v>33</v>
      </c>
      <c r="B84" s="190" t="s">
        <v>34</v>
      </c>
      <c r="C84" s="98">
        <f>SUM(C85)</f>
        <v>99918</v>
      </c>
      <c r="D84" s="40">
        <f t="shared" si="47"/>
        <v>160000</v>
      </c>
      <c r="E84" s="35">
        <f t="shared" si="47"/>
        <v>0</v>
      </c>
      <c r="F84" s="27">
        <f>SUM(F85)</f>
        <v>60000</v>
      </c>
      <c r="G84" s="83">
        <f>SUM(G85)</f>
        <v>0</v>
      </c>
      <c r="H84" s="40">
        <f>SUM(H85)</f>
        <v>160000</v>
      </c>
      <c r="I84" s="27">
        <f t="shared" si="47"/>
        <v>160000</v>
      </c>
      <c r="J84" s="257">
        <f>SUM(J85)</f>
        <v>160000</v>
      </c>
      <c r="K84" s="255">
        <f t="shared" si="47"/>
        <v>160000</v>
      </c>
      <c r="L84" s="255">
        <f t="shared" si="47"/>
        <v>160000</v>
      </c>
      <c r="M84" s="267">
        <f>SUM(M85)</f>
        <v>160000</v>
      </c>
      <c r="N84" s="256">
        <f>SUM(N85)</f>
        <v>160000</v>
      </c>
      <c r="O84" s="257">
        <f>SUM(O85)</f>
        <v>160000</v>
      </c>
    </row>
    <row r="85" spans="1:17" ht="15.75" thickBot="1" x14ac:dyDescent="0.3">
      <c r="A85" s="11" t="s">
        <v>35</v>
      </c>
      <c r="B85" s="192" t="s">
        <v>36</v>
      </c>
      <c r="C85" s="176">
        <v>99918</v>
      </c>
      <c r="D85" s="62">
        <v>160000</v>
      </c>
      <c r="E85" s="59">
        <v>0</v>
      </c>
      <c r="F85" s="59">
        <v>60000</v>
      </c>
      <c r="G85" s="128">
        <v>0</v>
      </c>
      <c r="H85" s="62">
        <v>160000</v>
      </c>
      <c r="I85" s="30">
        <v>160000</v>
      </c>
      <c r="J85" s="278">
        <v>160000</v>
      </c>
      <c r="K85" s="279">
        <v>160000</v>
      </c>
      <c r="L85" s="279">
        <v>160000</v>
      </c>
      <c r="M85" s="280">
        <v>160000</v>
      </c>
      <c r="N85" s="281">
        <v>160000</v>
      </c>
      <c r="O85" s="282">
        <v>160000</v>
      </c>
    </row>
    <row r="86" spans="1:17" x14ac:dyDescent="0.25">
      <c r="A86" s="7" t="s">
        <v>195</v>
      </c>
      <c r="B86" s="188" t="s">
        <v>196</v>
      </c>
      <c r="C86" s="156">
        <f>C91+C166+C171</f>
        <v>0</v>
      </c>
      <c r="D86" s="38">
        <f>D91+D166+D171</f>
        <v>10000</v>
      </c>
      <c r="E86" s="33">
        <f>E91+E166+E171</f>
        <v>0</v>
      </c>
      <c r="F86" s="25">
        <f>F91+F87</f>
        <v>1819180</v>
      </c>
      <c r="G86" s="33">
        <f>G91+G87</f>
        <v>0</v>
      </c>
      <c r="H86" s="25"/>
      <c r="I86" s="25"/>
      <c r="J86" s="244">
        <f>J87+J91</f>
        <v>350000</v>
      </c>
      <c r="K86" s="244"/>
      <c r="L86" s="244"/>
      <c r="M86" s="244">
        <f>M87+M91</f>
        <v>650000</v>
      </c>
      <c r="N86" s="244" t="e">
        <f t="shared" ref="N86" si="49">N87</f>
        <v>#REF!</v>
      </c>
      <c r="O86" s="244">
        <f>O87+O91</f>
        <v>0</v>
      </c>
    </row>
    <row r="87" spans="1:17" x14ac:dyDescent="0.25">
      <c r="A87" s="8" t="s">
        <v>5</v>
      </c>
      <c r="B87" s="184" t="s">
        <v>6</v>
      </c>
      <c r="C87" s="129" t="e">
        <f>C93+#REF!+C99+C102+C107+C91</f>
        <v>#REF!</v>
      </c>
      <c r="D87" s="39" t="e">
        <f>D93+#REF!+D99+D102+D107+D91</f>
        <v>#REF!</v>
      </c>
      <c r="E87" s="34" t="e">
        <f>E93+#REF!+E99+E102+E107+E91</f>
        <v>#REF!</v>
      </c>
      <c r="F87" s="26">
        <f>F88</f>
        <v>0</v>
      </c>
      <c r="G87" s="86">
        <f>G88+G98+G101</f>
        <v>0</v>
      </c>
      <c r="H87" s="39" t="e">
        <f>H88+H98+H101</f>
        <v>#REF!</v>
      </c>
      <c r="I87" s="26" t="e">
        <f>I93+#REF!+I99+I102+I107+I91</f>
        <v>#REF!</v>
      </c>
      <c r="J87" s="247">
        <f>J88</f>
        <v>350000</v>
      </c>
      <c r="K87" s="249" t="e">
        <f>K88+K98+K101</f>
        <v>#REF!</v>
      </c>
      <c r="L87" s="248" t="e">
        <f>L93+#REF!+L99+L102+L107+L91</f>
        <v>#REF!</v>
      </c>
      <c r="M87" s="247">
        <f t="shared" ref="M87:O87" si="50">M88</f>
        <v>650000</v>
      </c>
      <c r="N87" s="247" t="e">
        <f t="shared" si="50"/>
        <v>#REF!</v>
      </c>
      <c r="O87" s="247">
        <f t="shared" si="50"/>
        <v>0</v>
      </c>
    </row>
    <row r="88" spans="1:17" x14ac:dyDescent="0.25">
      <c r="A88" s="52" t="s">
        <v>155</v>
      </c>
      <c r="B88" s="189" t="s">
        <v>164</v>
      </c>
      <c r="C88" s="57"/>
      <c r="D88" s="136"/>
      <c r="E88" s="136"/>
      <c r="F88" s="53">
        <f>F89</f>
        <v>0</v>
      </c>
      <c r="G88" s="87">
        <f>G89+G92</f>
        <v>0</v>
      </c>
      <c r="H88" s="56" t="e">
        <f>H92+H177+#REF!</f>
        <v>#REF!</v>
      </c>
      <c r="I88" s="97" t="e">
        <f>I92+#REF!</f>
        <v>#REF!</v>
      </c>
      <c r="J88" s="253">
        <f>J89</f>
        <v>350000</v>
      </c>
      <c r="K88" s="296" t="e">
        <f>K92+#REF!</f>
        <v>#REF!</v>
      </c>
      <c r="L88" s="296" t="e">
        <f>L92+#REF!</f>
        <v>#REF!</v>
      </c>
      <c r="M88" s="253">
        <f t="shared" ref="M88:O88" si="51">M89</f>
        <v>650000</v>
      </c>
      <c r="N88" s="253" t="e">
        <f t="shared" si="51"/>
        <v>#REF!</v>
      </c>
      <c r="O88" s="253">
        <f t="shared" si="51"/>
        <v>0</v>
      </c>
    </row>
    <row r="89" spans="1:17" x14ac:dyDescent="0.25">
      <c r="A89" s="9" t="s">
        <v>55</v>
      </c>
      <c r="B89" s="190" t="s">
        <v>56</v>
      </c>
      <c r="C89" s="35" t="e">
        <f>#REF!</f>
        <v>#REF!</v>
      </c>
      <c r="D89" s="137" t="e">
        <f>#REF!</f>
        <v>#REF!</v>
      </c>
      <c r="E89" s="137" t="e">
        <f>#REF!</f>
        <v>#REF!</v>
      </c>
      <c r="F89" s="27">
        <f>F90</f>
        <v>0</v>
      </c>
      <c r="G89" s="83">
        <f>G91</f>
        <v>0</v>
      </c>
      <c r="H89" s="40">
        <f>SUM(H164:H174)</f>
        <v>15450000</v>
      </c>
      <c r="I89" s="126" t="e">
        <f>#REF!</f>
        <v>#REF!</v>
      </c>
      <c r="J89" s="257">
        <f>J90</f>
        <v>350000</v>
      </c>
      <c r="K89" s="256" t="e">
        <f>#REF!</f>
        <v>#REF!</v>
      </c>
      <c r="L89" s="256" t="e">
        <f>#REF!</f>
        <v>#REF!</v>
      </c>
      <c r="M89" s="257">
        <f>M90</f>
        <v>650000</v>
      </c>
      <c r="N89" s="256" t="e">
        <f>#REF!</f>
        <v>#REF!</v>
      </c>
      <c r="O89" s="257">
        <f>O90</f>
        <v>0</v>
      </c>
    </row>
    <row r="90" spans="1:17" x14ac:dyDescent="0.25">
      <c r="A90" s="10" t="s">
        <v>69</v>
      </c>
      <c r="B90" s="191" t="s">
        <v>70</v>
      </c>
      <c r="C90" s="177"/>
      <c r="D90" s="138"/>
      <c r="E90" s="138"/>
      <c r="F90" s="138">
        <v>0</v>
      </c>
      <c r="G90" s="99">
        <v>0</v>
      </c>
      <c r="H90" s="60"/>
      <c r="I90" s="68"/>
      <c r="J90" s="262">
        <v>350000</v>
      </c>
      <c r="K90" s="269">
        <v>0</v>
      </c>
      <c r="L90" s="269">
        <v>0</v>
      </c>
      <c r="M90" s="262">
        <v>650000</v>
      </c>
      <c r="N90" s="269">
        <v>0</v>
      </c>
      <c r="O90" s="262">
        <v>0</v>
      </c>
    </row>
    <row r="91" spans="1:17" x14ac:dyDescent="0.25">
      <c r="A91" s="8">
        <v>52</v>
      </c>
      <c r="B91" s="184" t="s">
        <v>183</v>
      </c>
      <c r="C91" s="91"/>
      <c r="D91" s="65"/>
      <c r="E91" s="91"/>
      <c r="F91" s="208">
        <f>F92+F98</f>
        <v>1819180</v>
      </c>
      <c r="G91" s="146">
        <f>G92+G98</f>
        <v>0</v>
      </c>
      <c r="H91" s="65"/>
      <c r="I91" s="146"/>
      <c r="J91" s="338">
        <f>J92+J98</f>
        <v>0</v>
      </c>
      <c r="K91" s="339"/>
      <c r="L91" s="339"/>
      <c r="M91" s="338">
        <f>M92+M98</f>
        <v>0</v>
      </c>
      <c r="N91" s="339"/>
      <c r="O91" s="338">
        <f>O92</f>
        <v>0</v>
      </c>
    </row>
    <row r="92" spans="1:17" x14ac:dyDescent="0.25">
      <c r="A92" s="52" t="s">
        <v>7</v>
      </c>
      <c r="B92" s="189" t="s">
        <v>165</v>
      </c>
      <c r="C92" s="130"/>
      <c r="D92" s="56"/>
      <c r="E92" s="57"/>
      <c r="F92" s="53">
        <f>F93+F96</f>
        <v>876000</v>
      </c>
      <c r="G92" s="87">
        <f>G93+G96</f>
        <v>0</v>
      </c>
      <c r="H92" s="56">
        <f>H93+H175+H186</f>
        <v>148723400</v>
      </c>
      <c r="I92" s="53">
        <f>I93+I175+I186</f>
        <v>183120650</v>
      </c>
      <c r="J92" s="250">
        <f>J93+J96</f>
        <v>0</v>
      </c>
      <c r="K92" s="251">
        <v>89949000</v>
      </c>
      <c r="L92" s="251">
        <f>L93+L175+L186</f>
        <v>91616745</v>
      </c>
      <c r="M92" s="250">
        <f>M93+M96</f>
        <v>0</v>
      </c>
      <c r="N92" s="252">
        <f>N93+N175+N186</f>
        <v>89614800</v>
      </c>
      <c r="O92" s="250">
        <f>O93+O96</f>
        <v>0</v>
      </c>
    </row>
    <row r="93" spans="1:17" x14ac:dyDescent="0.25">
      <c r="A93" s="9" t="s">
        <v>19</v>
      </c>
      <c r="B93" s="190" t="s">
        <v>20</v>
      </c>
      <c r="C93" s="98">
        <f t="shared" ref="C93:E93" si="52">SUM(C94:C95)</f>
        <v>72339008.989999995</v>
      </c>
      <c r="D93" s="40">
        <f t="shared" si="52"/>
        <v>73800000</v>
      </c>
      <c r="E93" s="35">
        <f t="shared" si="52"/>
        <v>30950115.359999999</v>
      </c>
      <c r="F93" s="35">
        <f>SUM(F94:F95)</f>
        <v>750000</v>
      </c>
      <c r="G93" s="98">
        <f>SUM(G94:G95)</f>
        <v>0</v>
      </c>
      <c r="H93" s="40">
        <f t="shared" ref="H93:N93" si="53">SUM(H94:H95)</f>
        <v>74800000</v>
      </c>
      <c r="I93" s="27">
        <f t="shared" si="53"/>
        <v>85350000</v>
      </c>
      <c r="J93" s="254">
        <f>J94+J95</f>
        <v>0</v>
      </c>
      <c r="K93" s="255">
        <f t="shared" si="53"/>
        <v>0</v>
      </c>
      <c r="L93" s="255">
        <f t="shared" si="53"/>
        <v>0</v>
      </c>
      <c r="M93" s="254">
        <f t="shared" si="53"/>
        <v>0</v>
      </c>
      <c r="N93" s="256">
        <f t="shared" si="53"/>
        <v>0</v>
      </c>
      <c r="O93" s="254">
        <f>O94</f>
        <v>0</v>
      </c>
      <c r="Q93" s="401"/>
    </row>
    <row r="94" spans="1:17" x14ac:dyDescent="0.25">
      <c r="A94" s="10" t="s">
        <v>21</v>
      </c>
      <c r="B94" s="191" t="s">
        <v>22</v>
      </c>
      <c r="C94" s="175">
        <v>70695044.640000001</v>
      </c>
      <c r="D94" s="60">
        <v>73500000</v>
      </c>
      <c r="E94" s="36">
        <v>30214512.399999999</v>
      </c>
      <c r="F94" s="36">
        <v>740000</v>
      </c>
      <c r="G94" s="99">
        <v>0</v>
      </c>
      <c r="H94" s="60">
        <v>74500000</v>
      </c>
      <c r="I94" s="55">
        <v>85050000</v>
      </c>
      <c r="J94" s="258"/>
      <c r="K94" s="259"/>
      <c r="L94" s="259"/>
      <c r="M94" s="260"/>
      <c r="N94" s="261"/>
      <c r="O94" s="262"/>
    </row>
    <row r="95" spans="1:17" x14ac:dyDescent="0.25">
      <c r="A95" s="10" t="s">
        <v>23</v>
      </c>
      <c r="B95" s="191" t="s">
        <v>24</v>
      </c>
      <c r="C95" s="175">
        <v>1643964.35</v>
      </c>
      <c r="D95" s="60">
        <v>300000</v>
      </c>
      <c r="E95" s="36">
        <v>735602.96</v>
      </c>
      <c r="F95" s="36">
        <v>10000</v>
      </c>
      <c r="G95" s="99">
        <v>0</v>
      </c>
      <c r="H95" s="60">
        <v>300000</v>
      </c>
      <c r="I95" s="55">
        <v>300000</v>
      </c>
      <c r="J95" s="258"/>
      <c r="K95" s="259"/>
      <c r="L95" s="259"/>
      <c r="M95" s="260"/>
      <c r="N95" s="261"/>
      <c r="O95" s="262">
        <v>0</v>
      </c>
    </row>
    <row r="96" spans="1:17" x14ac:dyDescent="0.25">
      <c r="A96" s="9" t="s">
        <v>28</v>
      </c>
      <c r="B96" s="190" t="s">
        <v>29</v>
      </c>
      <c r="C96" s="98">
        <f t="shared" ref="C96:I96" si="54">SUM(C97:C97)</f>
        <v>10885629.33</v>
      </c>
      <c r="D96" s="40">
        <f t="shared" si="54"/>
        <v>11439000</v>
      </c>
      <c r="E96" s="35">
        <f t="shared" si="54"/>
        <v>4865295.04</v>
      </c>
      <c r="F96" s="35">
        <f t="shared" si="54"/>
        <v>126000</v>
      </c>
      <c r="G96" s="98">
        <f t="shared" si="54"/>
        <v>0</v>
      </c>
      <c r="H96" s="40">
        <f t="shared" si="54"/>
        <v>11749000</v>
      </c>
      <c r="I96" s="27">
        <f t="shared" si="54"/>
        <v>0</v>
      </c>
      <c r="J96" s="254">
        <f>J97</f>
        <v>0</v>
      </c>
      <c r="K96" s="255">
        <f>SUM(K97:K97)</f>
        <v>0</v>
      </c>
      <c r="L96" s="255">
        <f>SUM(L97:L97)</f>
        <v>0</v>
      </c>
      <c r="M96" s="254">
        <f>M97</f>
        <v>0</v>
      </c>
      <c r="N96" s="256">
        <f>SUM(N97:N97)</f>
        <v>0</v>
      </c>
      <c r="O96" s="257">
        <f>O97</f>
        <v>0</v>
      </c>
    </row>
    <row r="97" spans="1:18" x14ac:dyDescent="0.25">
      <c r="A97" s="10" t="s">
        <v>30</v>
      </c>
      <c r="B97" s="191" t="s">
        <v>168</v>
      </c>
      <c r="C97" s="175">
        <v>10885629.33</v>
      </c>
      <c r="D97" s="60">
        <v>11439000</v>
      </c>
      <c r="E97" s="36">
        <v>4865295.04</v>
      </c>
      <c r="F97" s="36">
        <v>126000</v>
      </c>
      <c r="G97" s="99">
        <v>0</v>
      </c>
      <c r="H97" s="60">
        <v>11749000</v>
      </c>
      <c r="I97" s="55">
        <f>I91*16.5/100</f>
        <v>0</v>
      </c>
      <c r="J97" s="258"/>
      <c r="K97" s="259"/>
      <c r="L97" s="259"/>
      <c r="M97" s="260"/>
      <c r="N97" s="261"/>
      <c r="O97" s="262"/>
    </row>
    <row r="98" spans="1:18" x14ac:dyDescent="0.25">
      <c r="A98" s="52" t="s">
        <v>155</v>
      </c>
      <c r="B98" s="189" t="s">
        <v>164</v>
      </c>
      <c r="C98" s="57"/>
      <c r="D98" s="136"/>
      <c r="E98" s="136"/>
      <c r="F98" s="53">
        <f>F99+F101</f>
        <v>943180</v>
      </c>
      <c r="G98" s="87">
        <f>G99+G101</f>
        <v>0</v>
      </c>
      <c r="H98" s="56" t="e">
        <f>H101+H186+#REF!</f>
        <v>#REF!</v>
      </c>
      <c r="I98" s="97" t="e">
        <f>I101+#REF!</f>
        <v>#REF!</v>
      </c>
      <c r="J98" s="253">
        <f>J99+J101</f>
        <v>0</v>
      </c>
      <c r="K98" s="296" t="e">
        <f>K101+#REF!</f>
        <v>#REF!</v>
      </c>
      <c r="L98" s="296" t="e">
        <f>L101+#REF!</f>
        <v>#REF!</v>
      </c>
      <c r="M98" s="253">
        <f>M99+M101</f>
        <v>0</v>
      </c>
      <c r="N98" s="296" t="e">
        <f>N101+#REF!</f>
        <v>#REF!</v>
      </c>
      <c r="O98" s="253">
        <f>O99+O101</f>
        <v>0</v>
      </c>
    </row>
    <row r="99" spans="1:18" x14ac:dyDescent="0.25">
      <c r="A99" s="9" t="s">
        <v>33</v>
      </c>
      <c r="B99" s="190" t="s">
        <v>185</v>
      </c>
      <c r="C99" s="35" t="e">
        <f>C101</f>
        <v>#REF!</v>
      </c>
      <c r="D99" s="137" t="e">
        <f t="shared" ref="D99:E99" si="55">D101</f>
        <v>#REF!</v>
      </c>
      <c r="E99" s="137" t="e">
        <f t="shared" si="55"/>
        <v>#REF!</v>
      </c>
      <c r="F99" s="27">
        <f>F100</f>
        <v>39000</v>
      </c>
      <c r="G99" s="83">
        <f>G100</f>
        <v>0</v>
      </c>
      <c r="H99" s="40" t="e">
        <f>SUM(H101:H185)</f>
        <v>#REF!</v>
      </c>
      <c r="I99" s="126" t="e">
        <f t="shared" ref="I99" si="56">I101</f>
        <v>#REF!</v>
      </c>
      <c r="J99" s="257">
        <f>J100</f>
        <v>0</v>
      </c>
      <c r="K99" s="256" t="e">
        <f>K101</f>
        <v>#REF!</v>
      </c>
      <c r="L99" s="256" t="e">
        <f>L101</f>
        <v>#REF!</v>
      </c>
      <c r="M99" s="257">
        <f>M100</f>
        <v>0</v>
      </c>
      <c r="N99" s="256" t="e">
        <f t="shared" ref="N99" si="57">N101</f>
        <v>#REF!</v>
      </c>
      <c r="O99" s="257">
        <f>O100</f>
        <v>0</v>
      </c>
    </row>
    <row r="100" spans="1:18" x14ac:dyDescent="0.25">
      <c r="A100" s="10" t="s">
        <v>35</v>
      </c>
      <c r="B100" s="191" t="s">
        <v>36</v>
      </c>
      <c r="C100" s="177"/>
      <c r="D100" s="138"/>
      <c r="E100" s="138"/>
      <c r="F100" s="138">
        <v>39000</v>
      </c>
      <c r="G100" s="99">
        <v>0</v>
      </c>
      <c r="H100" s="60"/>
      <c r="I100" s="68"/>
      <c r="J100" s="262"/>
      <c r="K100" s="269">
        <v>0</v>
      </c>
      <c r="L100" s="269">
        <v>0</v>
      </c>
      <c r="M100" s="262"/>
      <c r="N100" s="269">
        <v>0</v>
      </c>
      <c r="O100" s="262">
        <v>0</v>
      </c>
    </row>
    <row r="101" spans="1:18" x14ac:dyDescent="0.25">
      <c r="A101" s="9" t="s">
        <v>55</v>
      </c>
      <c r="B101" s="190" t="s">
        <v>56</v>
      </c>
      <c r="C101" s="35" t="e">
        <f>#REF!</f>
        <v>#REF!</v>
      </c>
      <c r="D101" s="137" t="e">
        <f>#REF!</f>
        <v>#REF!</v>
      </c>
      <c r="E101" s="137" t="e">
        <f>#REF!</f>
        <v>#REF!</v>
      </c>
      <c r="F101" s="27">
        <f>F102</f>
        <v>904180</v>
      </c>
      <c r="G101" s="83">
        <f>G102</f>
        <v>0</v>
      </c>
      <c r="H101" s="40">
        <f>SUM(H175:H185)</f>
        <v>178312165</v>
      </c>
      <c r="I101" s="126" t="e">
        <f>#REF!</f>
        <v>#REF!</v>
      </c>
      <c r="J101" s="257">
        <f>J102</f>
        <v>0</v>
      </c>
      <c r="K101" s="256" t="e">
        <f>#REF!</f>
        <v>#REF!</v>
      </c>
      <c r="L101" s="256" t="e">
        <f>#REF!</f>
        <v>#REF!</v>
      </c>
      <c r="M101" s="257">
        <f>M102</f>
        <v>0</v>
      </c>
      <c r="N101" s="256" t="e">
        <f>#REF!</f>
        <v>#REF!</v>
      </c>
      <c r="O101" s="257">
        <f>O102</f>
        <v>0</v>
      </c>
    </row>
    <row r="102" spans="1:18" ht="15.75" thickBot="1" x14ac:dyDescent="0.3">
      <c r="A102" s="10" t="s">
        <v>69</v>
      </c>
      <c r="B102" s="191" t="s">
        <v>70</v>
      </c>
      <c r="C102" s="177"/>
      <c r="D102" s="138"/>
      <c r="E102" s="138"/>
      <c r="F102" s="138">
        <v>904180</v>
      </c>
      <c r="G102" s="99">
        <v>0</v>
      </c>
      <c r="H102" s="60"/>
      <c r="I102" s="68"/>
      <c r="J102" s="262"/>
      <c r="K102" s="269">
        <v>0</v>
      </c>
      <c r="L102" s="269">
        <v>0</v>
      </c>
      <c r="M102" s="262">
        <v>0</v>
      </c>
      <c r="N102" s="269">
        <v>0</v>
      </c>
      <c r="O102" s="262">
        <v>0</v>
      </c>
    </row>
    <row r="103" spans="1:18" x14ac:dyDescent="0.25">
      <c r="A103" s="7" t="s">
        <v>112</v>
      </c>
      <c r="B103" s="188" t="s">
        <v>113</v>
      </c>
      <c r="C103" s="156" t="e">
        <f t="shared" ref="C103:E103" si="58">C104</f>
        <v>#REF!</v>
      </c>
      <c r="D103" s="38" t="e">
        <f t="shared" si="58"/>
        <v>#REF!</v>
      </c>
      <c r="E103" s="33" t="e">
        <f t="shared" si="58"/>
        <v>#REF!</v>
      </c>
      <c r="F103" s="25">
        <f>F104</f>
        <v>26534125</v>
      </c>
      <c r="G103" s="33">
        <f>G104</f>
        <v>7378535.4600000009</v>
      </c>
      <c r="H103" s="25" t="e">
        <f>H104</f>
        <v>#REF!</v>
      </c>
      <c r="I103" s="25" t="e">
        <f>I104</f>
        <v>#REF!</v>
      </c>
      <c r="J103" s="283">
        <f>J104+J124+J135</f>
        <v>58792245</v>
      </c>
      <c r="K103" s="244" t="e">
        <f t="shared" ref="K103:N103" si="59">K104</f>
        <v>#REF!</v>
      </c>
      <c r="L103" s="244" t="e">
        <f t="shared" si="59"/>
        <v>#REF!</v>
      </c>
      <c r="M103" s="283">
        <f>M104+M124+M135</f>
        <v>59250780</v>
      </c>
      <c r="N103" s="245" t="e">
        <f t="shared" si="59"/>
        <v>#REF!</v>
      </c>
      <c r="O103" s="246">
        <f>O104+O124+O135</f>
        <v>58544499</v>
      </c>
    </row>
    <row r="104" spans="1:18" x14ac:dyDescent="0.25">
      <c r="A104" s="8" t="s">
        <v>5</v>
      </c>
      <c r="B104" s="184" t="s">
        <v>6</v>
      </c>
      <c r="C104" s="129" t="e">
        <f>C108+#REF!+C114+C117+C122+C106</f>
        <v>#REF!</v>
      </c>
      <c r="D104" s="39" t="e">
        <f>D108+#REF!+D114+D117+D122+D106</f>
        <v>#REF!</v>
      </c>
      <c r="E104" s="34" t="e">
        <f>E108+#REF!+E114+E117+E122+E106</f>
        <v>#REF!</v>
      </c>
      <c r="F104" s="26">
        <f>F105+F113+F116</f>
        <v>26534125</v>
      </c>
      <c r="G104" s="86">
        <f>G105+G113+G116</f>
        <v>7378535.4600000009</v>
      </c>
      <c r="H104" s="39" t="e">
        <f>H105+H113+H116</f>
        <v>#REF!</v>
      </c>
      <c r="I104" s="26" t="e">
        <f>I108+#REF!+I114+I117+I122+I106</f>
        <v>#REF!</v>
      </c>
      <c r="J104" s="247">
        <f>J105+J113+J116</f>
        <v>30570996</v>
      </c>
      <c r="K104" s="249" t="e">
        <f>K105+K113+K116</f>
        <v>#REF!</v>
      </c>
      <c r="L104" s="248" t="e">
        <f>L108+#REF!+L114+L117+L122+L106</f>
        <v>#REF!</v>
      </c>
      <c r="M104" s="247">
        <f>M105+M113+M116</f>
        <v>30041311</v>
      </c>
      <c r="N104" s="249" t="e">
        <f>N108+#REF!+N114+N117+N122+N106</f>
        <v>#REF!</v>
      </c>
      <c r="O104" s="247">
        <f>O105+O116+O113</f>
        <v>29133250</v>
      </c>
    </row>
    <row r="105" spans="1:18" x14ac:dyDescent="0.25">
      <c r="A105" s="52" t="s">
        <v>155</v>
      </c>
      <c r="B105" s="189" t="s">
        <v>164</v>
      </c>
      <c r="C105" s="130"/>
      <c r="D105" s="56"/>
      <c r="E105" s="57"/>
      <c r="F105" s="53">
        <f>F106+F108</f>
        <v>23479750</v>
      </c>
      <c r="G105" s="87">
        <f>G106+G108</f>
        <v>7358026.7200000007</v>
      </c>
      <c r="H105" s="56" t="e">
        <f>H106+H108+#REF!</f>
        <v>#REF!</v>
      </c>
      <c r="I105" s="53" t="e">
        <f>I106+I108+#REF!</f>
        <v>#REF!</v>
      </c>
      <c r="J105" s="250">
        <f>J106+J108</f>
        <v>25733621</v>
      </c>
      <c r="K105" s="251" t="e">
        <f>K106+K108+#REF!</f>
        <v>#REF!</v>
      </c>
      <c r="L105" s="251" t="e">
        <f>L106+L108+#REF!</f>
        <v>#REF!</v>
      </c>
      <c r="M105" s="250">
        <f>M106+M108</f>
        <v>26441311</v>
      </c>
      <c r="N105" s="252" t="e">
        <f>N106+N108+#REF!</f>
        <v>#REF!</v>
      </c>
      <c r="O105" s="253">
        <f>O106+O108</f>
        <v>25345750</v>
      </c>
    </row>
    <row r="106" spans="1:18" x14ac:dyDescent="0.25">
      <c r="A106" s="9" t="s">
        <v>43</v>
      </c>
      <c r="B106" s="190" t="s">
        <v>44</v>
      </c>
      <c r="C106" s="164">
        <f>C107</f>
        <v>0</v>
      </c>
      <c r="D106" s="81">
        <f t="shared" ref="D106:O106" si="60">D107</f>
        <v>50000</v>
      </c>
      <c r="E106" s="80">
        <f t="shared" si="60"/>
        <v>0</v>
      </c>
      <c r="F106" s="28">
        <f>SUM(F107)</f>
        <v>10000</v>
      </c>
      <c r="G106" s="204">
        <f>SUM(G107)</f>
        <v>1244.75</v>
      </c>
      <c r="H106" s="81">
        <f>SUM(H107)</f>
        <v>50000</v>
      </c>
      <c r="I106" s="28">
        <f t="shared" si="60"/>
        <v>50000</v>
      </c>
      <c r="J106" s="284">
        <f t="shared" si="60"/>
        <v>10000</v>
      </c>
      <c r="K106" s="285">
        <f>SUM(K107)</f>
        <v>0</v>
      </c>
      <c r="L106" s="286">
        <f t="shared" si="60"/>
        <v>0</v>
      </c>
      <c r="M106" s="284">
        <f t="shared" si="60"/>
        <v>50000</v>
      </c>
      <c r="N106" s="285">
        <f t="shared" si="60"/>
        <v>0</v>
      </c>
      <c r="O106" s="287">
        <f t="shared" si="60"/>
        <v>30000</v>
      </c>
    </row>
    <row r="107" spans="1:18" x14ac:dyDescent="0.25">
      <c r="A107" s="10" t="s">
        <v>49</v>
      </c>
      <c r="B107" s="191" t="s">
        <v>50</v>
      </c>
      <c r="C107" s="101">
        <v>0</v>
      </c>
      <c r="D107" s="60">
        <v>50000</v>
      </c>
      <c r="E107" s="36">
        <v>0</v>
      </c>
      <c r="F107" s="36">
        <v>10000</v>
      </c>
      <c r="G107" s="99">
        <v>1244.75</v>
      </c>
      <c r="H107" s="60">
        <v>50000</v>
      </c>
      <c r="I107" s="29">
        <v>50000</v>
      </c>
      <c r="J107" s="258">
        <v>10000</v>
      </c>
      <c r="K107" s="268"/>
      <c r="L107" s="268"/>
      <c r="M107" s="260">
        <v>50000</v>
      </c>
      <c r="N107" s="269"/>
      <c r="O107" s="262">
        <v>30000</v>
      </c>
    </row>
    <row r="108" spans="1:18" x14ac:dyDescent="0.25">
      <c r="A108" s="9" t="s">
        <v>55</v>
      </c>
      <c r="B108" s="190" t="s">
        <v>56</v>
      </c>
      <c r="C108" s="98">
        <f>SUM(C109:C112)</f>
        <v>17258250</v>
      </c>
      <c r="D108" s="40">
        <f>SUM(D109:D112)</f>
        <v>26697321</v>
      </c>
      <c r="E108" s="35">
        <f t="shared" ref="E108:O108" si="61">SUM(E109:E112)</f>
        <v>540942.93999999994</v>
      </c>
      <c r="F108" s="27">
        <f t="shared" si="61"/>
        <v>23469750</v>
      </c>
      <c r="G108" s="83">
        <f t="shared" si="61"/>
        <v>7356781.9700000007</v>
      </c>
      <c r="H108" s="40">
        <f t="shared" si="61"/>
        <v>19821868</v>
      </c>
      <c r="I108" s="27">
        <f t="shared" si="61"/>
        <v>30272025</v>
      </c>
      <c r="J108" s="257">
        <f>SUM(J109:J112)</f>
        <v>25723621</v>
      </c>
      <c r="K108" s="255">
        <f t="shared" si="61"/>
        <v>0</v>
      </c>
      <c r="L108" s="255">
        <f t="shared" si="61"/>
        <v>0</v>
      </c>
      <c r="M108" s="257">
        <f t="shared" si="61"/>
        <v>26391311</v>
      </c>
      <c r="N108" s="256">
        <f t="shared" si="61"/>
        <v>0</v>
      </c>
      <c r="O108" s="257">
        <f t="shared" si="61"/>
        <v>25315750</v>
      </c>
    </row>
    <row r="109" spans="1:18" x14ac:dyDescent="0.25">
      <c r="A109" s="10" t="s">
        <v>59</v>
      </c>
      <c r="B109" s="191" t="s">
        <v>60</v>
      </c>
      <c r="C109" s="175">
        <v>4783769.1100000003</v>
      </c>
      <c r="D109" s="60">
        <v>6560781</v>
      </c>
      <c r="E109" s="36">
        <v>52500</v>
      </c>
      <c r="F109" s="36">
        <v>4702500</v>
      </c>
      <c r="G109" s="99">
        <v>1325158.1100000001</v>
      </c>
      <c r="H109" s="60">
        <v>6560780</v>
      </c>
      <c r="I109" s="29">
        <f>4147000+3931250</f>
        <v>8078250</v>
      </c>
      <c r="J109" s="258">
        <f>6000000-39371+7992</f>
        <v>5968621</v>
      </c>
      <c r="K109" s="268"/>
      <c r="L109" s="268"/>
      <c r="M109" s="260">
        <v>6231250</v>
      </c>
      <c r="N109" s="269"/>
      <c r="O109" s="262">
        <f>6231250-170500</f>
        <v>6060750</v>
      </c>
    </row>
    <row r="110" spans="1:18" x14ac:dyDescent="0.25">
      <c r="A110" s="10" t="s">
        <v>65</v>
      </c>
      <c r="B110" s="191" t="s">
        <v>66</v>
      </c>
      <c r="C110" s="175">
        <v>2679264.9</v>
      </c>
      <c r="D110" s="60">
        <v>4000000</v>
      </c>
      <c r="E110" s="36">
        <v>153715.49</v>
      </c>
      <c r="F110" s="36">
        <v>4465000</v>
      </c>
      <c r="G110" s="99">
        <v>3226055.91</v>
      </c>
      <c r="H110" s="60">
        <v>3106088</v>
      </c>
      <c r="I110" s="29">
        <f>4861775+500000</f>
        <v>5361775</v>
      </c>
      <c r="J110" s="258">
        <v>3700000</v>
      </c>
      <c r="K110" s="268"/>
      <c r="L110" s="268"/>
      <c r="M110" s="260">
        <v>3905061</v>
      </c>
      <c r="N110" s="269"/>
      <c r="O110" s="262">
        <v>3700000</v>
      </c>
    </row>
    <row r="111" spans="1:18" x14ac:dyDescent="0.25">
      <c r="A111" s="10" t="s">
        <v>69</v>
      </c>
      <c r="B111" s="191" t="s">
        <v>70</v>
      </c>
      <c r="C111" s="175">
        <v>48282.5</v>
      </c>
      <c r="D111" s="60">
        <v>250000</v>
      </c>
      <c r="E111" s="36">
        <v>0</v>
      </c>
      <c r="F111" s="36">
        <v>147250</v>
      </c>
      <c r="G111" s="99">
        <v>25312.5</v>
      </c>
      <c r="H111" s="60">
        <v>155000</v>
      </c>
      <c r="I111" s="29">
        <v>155000</v>
      </c>
      <c r="J111" s="258">
        <v>155000</v>
      </c>
      <c r="K111" s="268"/>
      <c r="L111" s="268"/>
      <c r="M111" s="260">
        <v>155000</v>
      </c>
      <c r="N111" s="269"/>
      <c r="O111" s="262">
        <v>155000</v>
      </c>
    </row>
    <row r="112" spans="1:18" x14ac:dyDescent="0.25">
      <c r="A112" s="10" t="s">
        <v>114</v>
      </c>
      <c r="B112" s="191" t="s">
        <v>115</v>
      </c>
      <c r="C112" s="175">
        <v>9746933.4900000002</v>
      </c>
      <c r="D112" s="60">
        <v>15886540</v>
      </c>
      <c r="E112" s="36">
        <v>334727.45</v>
      </c>
      <c r="F112" s="36">
        <v>14155000</v>
      </c>
      <c r="G112" s="99">
        <v>2780255.45</v>
      </c>
      <c r="H112" s="60">
        <v>10000000</v>
      </c>
      <c r="I112" s="29">
        <f>16677000</f>
        <v>16677000</v>
      </c>
      <c r="J112" s="258">
        <v>15900000</v>
      </c>
      <c r="K112" s="268"/>
      <c r="L112" s="268"/>
      <c r="M112" s="260">
        <v>16100000</v>
      </c>
      <c r="N112" s="269"/>
      <c r="O112" s="262">
        <v>15400000</v>
      </c>
      <c r="R112" s="401">
        <f>J112+J129+J140</f>
        <v>35900000</v>
      </c>
    </row>
    <row r="113" spans="1:18" x14ac:dyDescent="0.25">
      <c r="A113" s="52" t="s">
        <v>158</v>
      </c>
      <c r="B113" s="189" t="s">
        <v>203</v>
      </c>
      <c r="C113" s="130"/>
      <c r="D113" s="67"/>
      <c r="E113" s="79"/>
      <c r="F113" s="54">
        <f t="shared" ref="F113:O113" si="62">F114</f>
        <v>0</v>
      </c>
      <c r="G113" s="148">
        <f t="shared" si="62"/>
        <v>0</v>
      </c>
      <c r="H113" s="67">
        <f t="shared" si="62"/>
        <v>12500</v>
      </c>
      <c r="I113" s="54">
        <f t="shared" si="62"/>
        <v>18750</v>
      </c>
      <c r="J113" s="263">
        <f t="shared" si="62"/>
        <v>25000</v>
      </c>
      <c r="K113" s="265">
        <f t="shared" si="62"/>
        <v>12500</v>
      </c>
      <c r="L113" s="264">
        <f t="shared" si="62"/>
        <v>18750</v>
      </c>
      <c r="M113" s="263">
        <f t="shared" si="62"/>
        <v>25000</v>
      </c>
      <c r="N113" s="265">
        <f t="shared" si="62"/>
        <v>18750</v>
      </c>
      <c r="O113" s="270">
        <f t="shared" si="62"/>
        <v>25000</v>
      </c>
      <c r="R113" s="401">
        <f>M112+M129+M140</f>
        <v>36100000</v>
      </c>
    </row>
    <row r="114" spans="1:18" x14ac:dyDescent="0.25">
      <c r="A114" s="9" t="s">
        <v>116</v>
      </c>
      <c r="B114" s="190" t="s">
        <v>117</v>
      </c>
      <c r="C114" s="98">
        <f>SUM(C115)</f>
        <v>0</v>
      </c>
      <c r="D114" s="40">
        <f t="shared" ref="D114:O114" si="63">SUM(D115)</f>
        <v>20000</v>
      </c>
      <c r="E114" s="35">
        <v>0</v>
      </c>
      <c r="F114" s="27">
        <f>SUM(F115)</f>
        <v>0</v>
      </c>
      <c r="G114" s="83">
        <f>SUM(G115)</f>
        <v>0</v>
      </c>
      <c r="H114" s="40">
        <f>SUM(H115)</f>
        <v>12500</v>
      </c>
      <c r="I114" s="27">
        <f t="shared" si="63"/>
        <v>18750</v>
      </c>
      <c r="J114" s="254">
        <f t="shared" si="63"/>
        <v>25000</v>
      </c>
      <c r="K114" s="255">
        <f t="shared" si="63"/>
        <v>12500</v>
      </c>
      <c r="L114" s="255">
        <f t="shared" si="63"/>
        <v>18750</v>
      </c>
      <c r="M114" s="254">
        <f t="shared" si="63"/>
        <v>25000</v>
      </c>
      <c r="N114" s="256">
        <f t="shared" si="63"/>
        <v>18750</v>
      </c>
      <c r="O114" s="257">
        <f t="shared" si="63"/>
        <v>25000</v>
      </c>
    </row>
    <row r="115" spans="1:18" x14ac:dyDescent="0.25">
      <c r="A115" s="10" t="s">
        <v>118</v>
      </c>
      <c r="B115" s="191" t="s">
        <v>119</v>
      </c>
      <c r="C115" s="175">
        <v>0</v>
      </c>
      <c r="D115" s="60">
        <v>20000</v>
      </c>
      <c r="E115" s="36">
        <v>0</v>
      </c>
      <c r="F115" s="36">
        <v>0</v>
      </c>
      <c r="G115" s="99">
        <v>0</v>
      </c>
      <c r="H115" s="60">
        <v>12500</v>
      </c>
      <c r="I115" s="29">
        <v>18750</v>
      </c>
      <c r="J115" s="258">
        <v>25000</v>
      </c>
      <c r="K115" s="268">
        <v>12500</v>
      </c>
      <c r="L115" s="268">
        <v>18750</v>
      </c>
      <c r="M115" s="260">
        <v>25000</v>
      </c>
      <c r="N115" s="269">
        <v>18750</v>
      </c>
      <c r="O115" s="262">
        <v>25000</v>
      </c>
    </row>
    <row r="116" spans="1:18" x14ac:dyDescent="0.25">
      <c r="A116" s="52" t="s">
        <v>157</v>
      </c>
      <c r="B116" s="189" t="s">
        <v>167</v>
      </c>
      <c r="C116" s="130"/>
      <c r="D116" s="67"/>
      <c r="E116" s="79"/>
      <c r="F116" s="54">
        <f>F117+F122</f>
        <v>3054375</v>
      </c>
      <c r="G116" s="148">
        <f t="shared" ref="G116:N116" si="64">G117+G122</f>
        <v>20508.739999999998</v>
      </c>
      <c r="H116" s="67">
        <f t="shared" si="64"/>
        <v>1675500</v>
      </c>
      <c r="I116" s="54">
        <f t="shared" si="64"/>
        <v>2970500</v>
      </c>
      <c r="J116" s="263">
        <f>J117+J122</f>
        <v>4812375</v>
      </c>
      <c r="K116" s="264">
        <f t="shared" si="64"/>
        <v>0</v>
      </c>
      <c r="L116" s="264">
        <f t="shared" si="64"/>
        <v>0</v>
      </c>
      <c r="M116" s="263">
        <f t="shared" si="64"/>
        <v>3575000</v>
      </c>
      <c r="N116" s="265">
        <f t="shared" si="64"/>
        <v>0</v>
      </c>
      <c r="O116" s="270">
        <f>O117+O122</f>
        <v>3762500</v>
      </c>
    </row>
    <row r="117" spans="1:18" x14ac:dyDescent="0.25">
      <c r="A117" s="9" t="s">
        <v>103</v>
      </c>
      <c r="B117" s="190" t="s">
        <v>104</v>
      </c>
      <c r="C117" s="98">
        <f t="shared" ref="C117:D117" si="65">SUM(C118:C120)</f>
        <v>1916811.9499999997</v>
      </c>
      <c r="D117" s="40">
        <f t="shared" si="65"/>
        <v>3527500</v>
      </c>
      <c r="E117" s="35">
        <f t="shared" ref="E117:N117" si="66">SUM(E118:E120)</f>
        <v>172595.3</v>
      </c>
      <c r="F117" s="27">
        <f>SUM(F118:F121)</f>
        <v>3054375</v>
      </c>
      <c r="G117" s="83">
        <f t="shared" si="66"/>
        <v>20508.739999999998</v>
      </c>
      <c r="H117" s="40">
        <f t="shared" si="66"/>
        <v>1665000</v>
      </c>
      <c r="I117" s="27">
        <f t="shared" si="66"/>
        <v>2960000</v>
      </c>
      <c r="J117" s="257">
        <f>SUM(J118:J121)</f>
        <v>4624875</v>
      </c>
      <c r="K117" s="255">
        <f t="shared" si="66"/>
        <v>0</v>
      </c>
      <c r="L117" s="255">
        <f t="shared" si="66"/>
        <v>0</v>
      </c>
      <c r="M117" s="257">
        <f>SUM(M118:M121)</f>
        <v>3387500</v>
      </c>
      <c r="N117" s="256">
        <f t="shared" si="66"/>
        <v>0</v>
      </c>
      <c r="O117" s="257">
        <f>SUM(O118:O121)</f>
        <v>3575000</v>
      </c>
    </row>
    <row r="118" spans="1:18" x14ac:dyDescent="0.25">
      <c r="A118" s="10" t="s">
        <v>105</v>
      </c>
      <c r="B118" s="191" t="s">
        <v>106</v>
      </c>
      <c r="C118" s="175">
        <v>1661011.38</v>
      </c>
      <c r="D118" s="60">
        <v>2200000</v>
      </c>
      <c r="E118" s="36">
        <v>122562.5</v>
      </c>
      <c r="F118" s="36">
        <v>2090000</v>
      </c>
      <c r="G118" s="99">
        <v>18208.75</v>
      </c>
      <c r="H118" s="60">
        <v>1650000</v>
      </c>
      <c r="I118" s="29">
        <v>2110000</v>
      </c>
      <c r="J118" s="258">
        <v>3748000</v>
      </c>
      <c r="K118" s="268"/>
      <c r="L118" s="268"/>
      <c r="M118" s="260">
        <v>2800000</v>
      </c>
      <c r="N118" s="269"/>
      <c r="O118" s="262">
        <v>3000000</v>
      </c>
    </row>
    <row r="119" spans="1:18" x14ac:dyDescent="0.25">
      <c r="A119" s="10" t="s">
        <v>120</v>
      </c>
      <c r="B119" s="191" t="s">
        <v>121</v>
      </c>
      <c r="C119" s="175">
        <v>5895.17</v>
      </c>
      <c r="D119" s="60">
        <v>15000</v>
      </c>
      <c r="E119" s="36">
        <v>50032.800000000003</v>
      </c>
      <c r="F119" s="36">
        <v>14375</v>
      </c>
      <c r="G119" s="99">
        <v>0</v>
      </c>
      <c r="H119" s="60">
        <v>15000</v>
      </c>
      <c r="I119" s="29">
        <v>25000</v>
      </c>
      <c r="J119" s="258">
        <v>14375</v>
      </c>
      <c r="K119" s="268"/>
      <c r="L119" s="268"/>
      <c r="M119" s="260">
        <v>25000</v>
      </c>
      <c r="N119" s="269"/>
      <c r="O119" s="262">
        <v>25000</v>
      </c>
    </row>
    <row r="120" spans="1:18" x14ac:dyDescent="0.25">
      <c r="A120" s="12">
        <v>4223</v>
      </c>
      <c r="B120" s="193" t="s">
        <v>122</v>
      </c>
      <c r="C120" s="175">
        <v>249905.4</v>
      </c>
      <c r="D120" s="60">
        <v>1312500</v>
      </c>
      <c r="E120" s="36">
        <v>0</v>
      </c>
      <c r="F120" s="36">
        <v>475000</v>
      </c>
      <c r="G120" s="99">
        <v>2299.9899999999998</v>
      </c>
      <c r="H120" s="60">
        <v>0</v>
      </c>
      <c r="I120" s="29">
        <v>825000</v>
      </c>
      <c r="J120" s="258">
        <v>362500</v>
      </c>
      <c r="K120" s="268"/>
      <c r="L120" s="268"/>
      <c r="M120" s="260">
        <v>62500</v>
      </c>
      <c r="N120" s="269"/>
      <c r="O120" s="262">
        <v>50000</v>
      </c>
    </row>
    <row r="121" spans="1:18" x14ac:dyDescent="0.25">
      <c r="A121" s="10" t="s">
        <v>147</v>
      </c>
      <c r="B121" s="225" t="s">
        <v>137</v>
      </c>
      <c r="C121" s="179">
        <v>0</v>
      </c>
      <c r="D121" s="61">
        <v>0</v>
      </c>
      <c r="E121" s="37">
        <v>0</v>
      </c>
      <c r="F121" s="37">
        <v>475000</v>
      </c>
      <c r="G121" s="95">
        <v>0</v>
      </c>
      <c r="H121" s="61">
        <v>0</v>
      </c>
      <c r="I121" s="226">
        <v>0</v>
      </c>
      <c r="J121" s="398">
        <v>500000</v>
      </c>
      <c r="K121" s="399"/>
      <c r="L121" s="399"/>
      <c r="M121" s="400">
        <v>500000</v>
      </c>
      <c r="N121" s="300"/>
      <c r="O121" s="299">
        <v>500000</v>
      </c>
    </row>
    <row r="122" spans="1:18" x14ac:dyDescent="0.25">
      <c r="A122" s="9" t="s">
        <v>123</v>
      </c>
      <c r="B122" s="190" t="s">
        <v>124</v>
      </c>
      <c r="C122" s="98">
        <f>SUM(C123)</f>
        <v>0</v>
      </c>
      <c r="D122" s="40">
        <f t="shared" ref="D122:O122" si="67">SUM(D123)</f>
        <v>10500</v>
      </c>
      <c r="E122" s="35">
        <f t="shared" si="67"/>
        <v>0</v>
      </c>
      <c r="F122" s="27">
        <f>F123</f>
        <v>0</v>
      </c>
      <c r="G122" s="83">
        <f>G123</f>
        <v>0</v>
      </c>
      <c r="H122" s="40">
        <f>H123</f>
        <v>10500</v>
      </c>
      <c r="I122" s="27">
        <f t="shared" si="67"/>
        <v>10500</v>
      </c>
      <c r="J122" s="257">
        <f t="shared" si="67"/>
        <v>187500</v>
      </c>
      <c r="K122" s="256">
        <f t="shared" si="67"/>
        <v>0</v>
      </c>
      <c r="L122" s="256">
        <f t="shared" si="67"/>
        <v>0</v>
      </c>
      <c r="M122" s="254">
        <f t="shared" si="67"/>
        <v>187500</v>
      </c>
      <c r="N122" s="256">
        <f t="shared" si="67"/>
        <v>0</v>
      </c>
      <c r="O122" s="257">
        <f t="shared" si="67"/>
        <v>187500</v>
      </c>
    </row>
    <row r="123" spans="1:18" x14ac:dyDescent="0.25">
      <c r="A123" s="13" t="s">
        <v>125</v>
      </c>
      <c r="B123" s="225" t="s">
        <v>126</v>
      </c>
      <c r="C123" s="179">
        <v>0</v>
      </c>
      <c r="D123" s="61">
        <v>10500</v>
      </c>
      <c r="E123" s="37">
        <v>0</v>
      </c>
      <c r="F123" s="152">
        <v>0</v>
      </c>
      <c r="G123" s="95">
        <v>0</v>
      </c>
      <c r="H123" s="61">
        <v>10500</v>
      </c>
      <c r="I123" s="410">
        <v>10500</v>
      </c>
      <c r="J123" s="404">
        <v>187500</v>
      </c>
      <c r="K123" s="300"/>
      <c r="L123" s="300"/>
      <c r="M123" s="411">
        <v>187500</v>
      </c>
      <c r="N123" s="412"/>
      <c r="O123" s="411">
        <v>187500</v>
      </c>
    </row>
    <row r="124" spans="1:18" x14ac:dyDescent="0.25">
      <c r="A124" s="8" t="s">
        <v>150</v>
      </c>
      <c r="B124" s="184" t="s">
        <v>151</v>
      </c>
      <c r="C124" s="91" t="e">
        <f>C127+C146+C150+C154+C157+C166+C170+C175+C134</f>
        <v>#REF!</v>
      </c>
      <c r="D124" s="65" t="e">
        <f t="shared" ref="D124:E124" si="68">D127+D146+D150+D154+D157+D166+D170+D175+D134</f>
        <v>#REF!</v>
      </c>
      <c r="E124" s="91" t="e">
        <f t="shared" si="68"/>
        <v>#REF!</v>
      </c>
      <c r="F124" s="208">
        <f>F125+F130</f>
        <v>0</v>
      </c>
      <c r="G124" s="146">
        <f>G126+G149+G169</f>
        <v>0</v>
      </c>
      <c r="H124" s="65">
        <f>H126+H149+H169</f>
        <v>367500</v>
      </c>
      <c r="I124" s="146" t="e">
        <f>I127+I146+I150+I154+I157+I166+I170+I175+I134</f>
        <v>#REF!</v>
      </c>
      <c r="J124" s="338">
        <f>J125+J130</f>
        <v>4233187</v>
      </c>
      <c r="K124" s="339">
        <f>K126+K149+K169</f>
        <v>217500</v>
      </c>
      <c r="L124" s="339" t="e">
        <f t="shared" ref="L124" si="69">L127+L146+L150+L154+L157+L166+L170+L175+L134</f>
        <v>#REF!</v>
      </c>
      <c r="M124" s="338">
        <f>M125+M130</f>
        <v>4381447</v>
      </c>
      <c r="N124" s="339" t="e">
        <f t="shared" ref="N124" si="70">N127+N146+N150+N154+N157+N166+N170+N175+N134</f>
        <v>#REF!</v>
      </c>
      <c r="O124" s="338">
        <f>O125+O130</f>
        <v>4411687</v>
      </c>
    </row>
    <row r="125" spans="1:18" x14ac:dyDescent="0.25">
      <c r="A125" s="52" t="s">
        <v>155</v>
      </c>
      <c r="B125" s="189" t="s">
        <v>164</v>
      </c>
      <c r="C125" s="57"/>
      <c r="D125" s="136"/>
      <c r="E125" s="136"/>
      <c r="F125" s="53">
        <f>F126+F131</f>
        <v>0</v>
      </c>
      <c r="G125" s="87">
        <f>G126+G131</f>
        <v>0</v>
      </c>
      <c r="H125" s="56" t="e">
        <f>H126+H131+#REF!</f>
        <v>#REF!</v>
      </c>
      <c r="I125" s="97" t="e">
        <f>I126+#REF!</f>
        <v>#REF!</v>
      </c>
      <c r="J125" s="253">
        <f>J126</f>
        <v>3570000</v>
      </c>
      <c r="K125" s="296" t="e">
        <f>K126+#REF!</f>
        <v>#REF!</v>
      </c>
      <c r="L125" s="296" t="e">
        <f>L126+#REF!</f>
        <v>#REF!</v>
      </c>
      <c r="M125" s="253">
        <f>M126</f>
        <v>3630000</v>
      </c>
      <c r="N125" s="296" t="e">
        <f>N126+#REF!</f>
        <v>#REF!</v>
      </c>
      <c r="O125" s="253">
        <f>O126</f>
        <v>3705000</v>
      </c>
    </row>
    <row r="126" spans="1:18" x14ac:dyDescent="0.25">
      <c r="A126" s="417" t="s">
        <v>55</v>
      </c>
      <c r="B126" s="418" t="s">
        <v>56</v>
      </c>
      <c r="C126" s="419"/>
      <c r="D126" s="420"/>
      <c r="E126" s="421"/>
      <c r="F126" s="422"/>
      <c r="G126" s="423"/>
      <c r="H126" s="424"/>
      <c r="I126" s="425"/>
      <c r="J126" s="426">
        <f>SUM(J127:J129)</f>
        <v>3570000</v>
      </c>
      <c r="K126" s="427"/>
      <c r="L126" s="427"/>
      <c r="M126" s="428">
        <f>SUM(M127:M129)</f>
        <v>3630000</v>
      </c>
      <c r="N126" s="429"/>
      <c r="O126" s="428">
        <f>SUM(O127:O129)</f>
        <v>3705000</v>
      </c>
    </row>
    <row r="127" spans="1:18" x14ac:dyDescent="0.25">
      <c r="A127" s="409" t="s">
        <v>59</v>
      </c>
      <c r="B127" s="408" t="s">
        <v>60</v>
      </c>
      <c r="C127" s="402"/>
      <c r="D127" s="131"/>
      <c r="E127" s="403"/>
      <c r="F127" s="138"/>
      <c r="G127" s="99"/>
      <c r="H127" s="60"/>
      <c r="I127" s="405"/>
      <c r="J127" s="262">
        <v>345000</v>
      </c>
      <c r="K127" s="269"/>
      <c r="L127" s="269"/>
      <c r="M127" s="406">
        <v>405000</v>
      </c>
      <c r="N127" s="407"/>
      <c r="O127" s="406">
        <v>405000</v>
      </c>
    </row>
    <row r="128" spans="1:18" x14ac:dyDescent="0.25">
      <c r="A128" s="409" t="s">
        <v>65</v>
      </c>
      <c r="B128" s="408" t="s">
        <v>66</v>
      </c>
      <c r="C128" s="402"/>
      <c r="D128" s="131"/>
      <c r="E128" s="403"/>
      <c r="F128" s="138"/>
      <c r="G128" s="99"/>
      <c r="H128" s="60"/>
      <c r="I128" s="405"/>
      <c r="J128" s="262">
        <v>225000</v>
      </c>
      <c r="K128" s="269"/>
      <c r="L128" s="269"/>
      <c r="M128" s="406">
        <v>225000</v>
      </c>
      <c r="N128" s="407"/>
      <c r="O128" s="406">
        <v>300000</v>
      </c>
    </row>
    <row r="129" spans="1:20" x14ac:dyDescent="0.25">
      <c r="A129" s="409" t="s">
        <v>114</v>
      </c>
      <c r="B129" s="408" t="s">
        <v>115</v>
      </c>
      <c r="C129" s="402"/>
      <c r="D129" s="131"/>
      <c r="E129" s="403"/>
      <c r="F129" s="138"/>
      <c r="G129" s="99"/>
      <c r="H129" s="60"/>
      <c r="I129" s="405"/>
      <c r="J129" s="262">
        <v>3000000</v>
      </c>
      <c r="K129" s="269"/>
      <c r="L129" s="269"/>
      <c r="M129" s="406">
        <v>3000000</v>
      </c>
      <c r="N129" s="407"/>
      <c r="O129" s="406">
        <v>3000000</v>
      </c>
      <c r="R129" s="401"/>
    </row>
    <row r="130" spans="1:20" x14ac:dyDescent="0.25">
      <c r="A130" s="52" t="s">
        <v>157</v>
      </c>
      <c r="B130" s="189" t="s">
        <v>167</v>
      </c>
      <c r="C130" s="130"/>
      <c r="D130" s="67"/>
      <c r="E130" s="79"/>
      <c r="F130" s="54">
        <f>SUM(F131:F134)</f>
        <v>0</v>
      </c>
      <c r="G130" s="148">
        <f>SUM(G131:G134)</f>
        <v>0</v>
      </c>
      <c r="H130" s="67" t="e">
        <f t="shared" ref="H130:N130" si="71">H131+H146</f>
        <v>#REF!</v>
      </c>
      <c r="I130" s="54" t="e">
        <f t="shared" si="71"/>
        <v>#REF!</v>
      </c>
      <c r="J130" s="263">
        <f>J131</f>
        <v>663187</v>
      </c>
      <c r="K130" s="264" t="e">
        <f t="shared" si="71"/>
        <v>#REF!</v>
      </c>
      <c r="L130" s="264" t="e">
        <f t="shared" si="71"/>
        <v>#REF!</v>
      </c>
      <c r="M130" s="263">
        <f>M131</f>
        <v>751447</v>
      </c>
      <c r="N130" s="265" t="e">
        <f t="shared" si="71"/>
        <v>#REF!</v>
      </c>
      <c r="O130" s="270">
        <f>O131</f>
        <v>706687</v>
      </c>
    </row>
    <row r="131" spans="1:20" x14ac:dyDescent="0.25">
      <c r="A131" s="417" t="s">
        <v>103</v>
      </c>
      <c r="B131" s="418" t="s">
        <v>104</v>
      </c>
      <c r="C131" s="419"/>
      <c r="D131" s="420"/>
      <c r="E131" s="421"/>
      <c r="F131" s="422"/>
      <c r="G131" s="423"/>
      <c r="H131" s="424"/>
      <c r="I131" s="425"/>
      <c r="J131" s="426">
        <f>SUM(J132:J134)</f>
        <v>663187</v>
      </c>
      <c r="K131" s="427"/>
      <c r="L131" s="427"/>
      <c r="M131" s="428">
        <f>SUM(M132:M134)</f>
        <v>751447</v>
      </c>
      <c r="N131" s="429"/>
      <c r="O131" s="428">
        <f>SUM(O132:O134)</f>
        <v>706687</v>
      </c>
    </row>
    <row r="132" spans="1:20" x14ac:dyDescent="0.25">
      <c r="A132" s="409" t="s">
        <v>105</v>
      </c>
      <c r="B132" s="408" t="s">
        <v>106</v>
      </c>
      <c r="C132" s="402"/>
      <c r="D132" s="131"/>
      <c r="E132" s="403"/>
      <c r="F132" s="138"/>
      <c r="G132" s="99"/>
      <c r="H132" s="60"/>
      <c r="I132" s="405"/>
      <c r="J132" s="262">
        <v>556500</v>
      </c>
      <c r="K132" s="269"/>
      <c r="L132" s="269"/>
      <c r="M132" s="406">
        <v>569760</v>
      </c>
      <c r="N132" s="407"/>
      <c r="O132" s="406">
        <v>600000</v>
      </c>
    </row>
    <row r="133" spans="1:20" x14ac:dyDescent="0.25">
      <c r="A133" s="409" t="s">
        <v>120</v>
      </c>
      <c r="B133" s="408" t="s">
        <v>121</v>
      </c>
      <c r="C133" s="402"/>
      <c r="D133" s="131"/>
      <c r="E133" s="403"/>
      <c r="F133" s="138"/>
      <c r="G133" s="99"/>
      <c r="H133" s="60"/>
      <c r="I133" s="405"/>
      <c r="J133" s="262">
        <v>1687</v>
      </c>
      <c r="K133" s="269"/>
      <c r="L133" s="269"/>
      <c r="M133" s="406">
        <v>1687</v>
      </c>
      <c r="N133" s="407"/>
      <c r="O133" s="406">
        <v>1687</v>
      </c>
    </row>
    <row r="134" spans="1:20" x14ac:dyDescent="0.25">
      <c r="A134" s="413" t="s">
        <v>147</v>
      </c>
      <c r="B134" s="414" t="s">
        <v>137</v>
      </c>
      <c r="C134" s="402"/>
      <c r="D134" s="131"/>
      <c r="E134" s="403"/>
      <c r="F134" s="152"/>
      <c r="G134" s="95"/>
      <c r="H134" s="61"/>
      <c r="I134" s="410"/>
      <c r="J134" s="299">
        <v>105000</v>
      </c>
      <c r="K134" s="300"/>
      <c r="L134" s="300"/>
      <c r="M134" s="411">
        <v>180000</v>
      </c>
      <c r="N134" s="412"/>
      <c r="O134" s="411">
        <v>105000</v>
      </c>
    </row>
    <row r="135" spans="1:20" x14ac:dyDescent="0.25">
      <c r="A135" s="8" t="s">
        <v>149</v>
      </c>
      <c r="B135" s="184" t="s">
        <v>144</v>
      </c>
      <c r="C135" s="91">
        <f>C138+C144+C148+C179+C185+C199+C202+C209+C142</f>
        <v>36645772.649999991</v>
      </c>
      <c r="D135" s="65">
        <f>D138+D142+D144+D148+D152+D155+D164+D168+D173</f>
        <v>287500</v>
      </c>
      <c r="E135" s="91">
        <f>E138+E142+E144+E148+E152+E155+E164+E168+E173</f>
        <v>10000</v>
      </c>
      <c r="F135" s="208">
        <f>F136+F141</f>
        <v>0</v>
      </c>
      <c r="G135" s="146">
        <f>G136+G141</f>
        <v>0</v>
      </c>
      <c r="H135" s="65" t="e">
        <f>H137+H147+H167</f>
        <v>#REF!</v>
      </c>
      <c r="I135" s="110" t="e">
        <f>I138+I142+I144+I148+I152+I155+I164+I168+I173</f>
        <v>#REF!</v>
      </c>
      <c r="J135" s="338">
        <f>J136+J141</f>
        <v>23988062</v>
      </c>
      <c r="K135" s="387" t="e">
        <f t="shared" ref="K135:L135" si="72">K138+K142+K144+K148+K152+K155+K164+K168+K173</f>
        <v>#REF!</v>
      </c>
      <c r="L135" s="387" t="e">
        <f t="shared" si="72"/>
        <v>#REF!</v>
      </c>
      <c r="M135" s="338">
        <f>M136+M141</f>
        <v>24828022</v>
      </c>
      <c r="N135" s="339" t="e">
        <f t="shared" ref="N135" si="73">N138+N142+N144+N148+N152+N155+N164+N168+N173</f>
        <v>#REF!</v>
      </c>
      <c r="O135" s="338">
        <f>O136+O141</f>
        <v>24999562</v>
      </c>
      <c r="R135" s="203">
        <f>J140+J129</f>
        <v>20000000</v>
      </c>
      <c r="T135" s="401">
        <f>M112+M129+M140</f>
        <v>36100000</v>
      </c>
    </row>
    <row r="136" spans="1:20" x14ac:dyDescent="0.25">
      <c r="A136" s="52" t="s">
        <v>155</v>
      </c>
      <c r="B136" s="189" t="s">
        <v>164</v>
      </c>
      <c r="C136" s="57"/>
      <c r="D136" s="136"/>
      <c r="E136" s="136"/>
      <c r="F136" s="53">
        <f>F137+F143</f>
        <v>0</v>
      </c>
      <c r="G136" s="87">
        <f>G137+G143</f>
        <v>0</v>
      </c>
      <c r="H136" s="56" t="e">
        <f>H137+H143+#REF!</f>
        <v>#REF!</v>
      </c>
      <c r="I136" s="97" t="e">
        <f>I137+#REF!</f>
        <v>#REF!</v>
      </c>
      <c r="J136" s="253">
        <f>J137</f>
        <v>20230000</v>
      </c>
      <c r="K136" s="296" t="e">
        <f>K137+#REF!</f>
        <v>#REF!</v>
      </c>
      <c r="L136" s="296" t="e">
        <f>L137+#REF!</f>
        <v>#REF!</v>
      </c>
      <c r="M136" s="253">
        <f>M137</f>
        <v>20570000</v>
      </c>
      <c r="N136" s="296" t="e">
        <f>N137+#REF!</f>
        <v>#REF!</v>
      </c>
      <c r="O136" s="253">
        <f>O137</f>
        <v>20995000</v>
      </c>
      <c r="R136" s="203">
        <v>15100000</v>
      </c>
    </row>
    <row r="137" spans="1:20" x14ac:dyDescent="0.25">
      <c r="A137" s="417" t="s">
        <v>55</v>
      </c>
      <c r="B137" s="418" t="s">
        <v>56</v>
      </c>
      <c r="C137" s="419"/>
      <c r="D137" s="420"/>
      <c r="E137" s="421"/>
      <c r="F137" s="430"/>
      <c r="G137" s="420"/>
      <c r="H137" s="431"/>
      <c r="I137" s="432"/>
      <c r="J137" s="433">
        <f>SUM(J138:J140)</f>
        <v>20230000</v>
      </c>
      <c r="K137" s="434"/>
      <c r="L137" s="434"/>
      <c r="M137" s="435">
        <f>SUM(M138:M140)</f>
        <v>20570000</v>
      </c>
      <c r="N137" s="436"/>
      <c r="O137" s="435">
        <f>SUM(O138:O140)</f>
        <v>20995000</v>
      </c>
      <c r="R137" s="203">
        <f>SUM(R135:R136)</f>
        <v>35100000</v>
      </c>
    </row>
    <row r="138" spans="1:20" x14ac:dyDescent="0.25">
      <c r="A138" s="409" t="s">
        <v>59</v>
      </c>
      <c r="B138" s="408" t="s">
        <v>60</v>
      </c>
      <c r="C138" s="402"/>
      <c r="D138" s="131"/>
      <c r="E138" s="403"/>
      <c r="F138" s="152"/>
      <c r="G138" s="95"/>
      <c r="H138" s="61"/>
      <c r="I138" s="410"/>
      <c r="J138" s="299">
        <v>1955000</v>
      </c>
      <c r="K138" s="300"/>
      <c r="L138" s="300"/>
      <c r="M138" s="411">
        <v>2295000</v>
      </c>
      <c r="N138" s="412"/>
      <c r="O138" s="411">
        <v>2295000</v>
      </c>
    </row>
    <row r="139" spans="1:20" x14ac:dyDescent="0.25">
      <c r="A139" s="409" t="s">
        <v>65</v>
      </c>
      <c r="B139" s="408" t="s">
        <v>66</v>
      </c>
      <c r="C139" s="402"/>
      <c r="D139" s="131"/>
      <c r="E139" s="403"/>
      <c r="F139" s="152"/>
      <c r="G139" s="95"/>
      <c r="H139" s="61"/>
      <c r="I139" s="410"/>
      <c r="J139" s="299">
        <v>1275000</v>
      </c>
      <c r="K139" s="300"/>
      <c r="L139" s="300"/>
      <c r="M139" s="411">
        <v>1275000</v>
      </c>
      <c r="N139" s="412"/>
      <c r="O139" s="411">
        <v>1700000</v>
      </c>
    </row>
    <row r="140" spans="1:20" x14ac:dyDescent="0.25">
      <c r="A140" s="409" t="s">
        <v>114</v>
      </c>
      <c r="B140" s="408" t="s">
        <v>115</v>
      </c>
      <c r="C140" s="402"/>
      <c r="D140" s="131"/>
      <c r="E140" s="403"/>
      <c r="F140" s="152"/>
      <c r="G140" s="95"/>
      <c r="H140" s="61"/>
      <c r="I140" s="410"/>
      <c r="J140" s="299">
        <v>17000000</v>
      </c>
      <c r="K140" s="300"/>
      <c r="L140" s="300"/>
      <c r="M140" s="411">
        <v>17000000</v>
      </c>
      <c r="N140" s="412"/>
      <c r="O140" s="411">
        <v>17000000</v>
      </c>
    </row>
    <row r="141" spans="1:20" x14ac:dyDescent="0.25">
      <c r="A141" s="52" t="s">
        <v>157</v>
      </c>
      <c r="B141" s="189" t="s">
        <v>167</v>
      </c>
      <c r="C141" s="130"/>
      <c r="D141" s="67"/>
      <c r="E141" s="79"/>
      <c r="F141" s="54">
        <f>F142+F157</f>
        <v>0</v>
      </c>
      <c r="G141" s="148">
        <f t="shared" ref="G141:O141" si="74">G142+G157</f>
        <v>0</v>
      </c>
      <c r="H141" s="67">
        <f t="shared" si="74"/>
        <v>200200</v>
      </c>
      <c r="I141" s="54">
        <f t="shared" si="74"/>
        <v>200200</v>
      </c>
      <c r="J141" s="263">
        <f>J142+J157</f>
        <v>3758062</v>
      </c>
      <c r="K141" s="264">
        <f t="shared" si="74"/>
        <v>0</v>
      </c>
      <c r="L141" s="264">
        <f t="shared" si="74"/>
        <v>0</v>
      </c>
      <c r="M141" s="263">
        <f t="shared" si="74"/>
        <v>4258022</v>
      </c>
      <c r="N141" s="265">
        <f t="shared" si="74"/>
        <v>0</v>
      </c>
      <c r="O141" s="270">
        <f t="shared" si="74"/>
        <v>4004562</v>
      </c>
    </row>
    <row r="142" spans="1:20" x14ac:dyDescent="0.25">
      <c r="A142" s="417" t="s">
        <v>103</v>
      </c>
      <c r="B142" s="418" t="s">
        <v>104</v>
      </c>
      <c r="C142" s="419"/>
      <c r="D142" s="420"/>
      <c r="E142" s="421"/>
      <c r="F142" s="437"/>
      <c r="G142" s="438"/>
      <c r="H142" s="439"/>
      <c r="I142" s="440"/>
      <c r="J142" s="441">
        <f>SUM(J143:J145)</f>
        <v>3758062</v>
      </c>
      <c r="K142" s="442"/>
      <c r="L142" s="442"/>
      <c r="M142" s="443">
        <f>SUM(M143:M145)</f>
        <v>4258022</v>
      </c>
      <c r="N142" s="444"/>
      <c r="O142" s="443">
        <f>SUM(O143:O145)</f>
        <v>4004562</v>
      </c>
    </row>
    <row r="143" spans="1:20" x14ac:dyDescent="0.25">
      <c r="A143" s="409" t="s">
        <v>105</v>
      </c>
      <c r="B143" s="408" t="s">
        <v>106</v>
      </c>
      <c r="C143" s="402"/>
      <c r="D143" s="131"/>
      <c r="E143" s="403"/>
      <c r="F143" s="152"/>
      <c r="G143" s="95"/>
      <c r="H143" s="61"/>
      <c r="I143" s="410"/>
      <c r="J143" s="299">
        <v>3153500</v>
      </c>
      <c r="K143" s="300"/>
      <c r="L143" s="300"/>
      <c r="M143" s="411">
        <v>3228460</v>
      </c>
      <c r="N143" s="412"/>
      <c r="O143" s="411">
        <v>3400000</v>
      </c>
    </row>
    <row r="144" spans="1:20" x14ac:dyDescent="0.25">
      <c r="A144" s="413" t="s">
        <v>120</v>
      </c>
      <c r="B144" s="414" t="s">
        <v>121</v>
      </c>
      <c r="C144" s="402"/>
      <c r="D144" s="131"/>
      <c r="E144" s="403"/>
      <c r="F144" s="152"/>
      <c r="G144" s="95"/>
      <c r="H144" s="61"/>
      <c r="I144" s="410"/>
      <c r="J144" s="299">
        <v>9562</v>
      </c>
      <c r="K144" s="300"/>
      <c r="L144" s="300"/>
      <c r="M144" s="411">
        <v>9562</v>
      </c>
      <c r="N144" s="412"/>
      <c r="O144" s="411">
        <v>9562</v>
      </c>
      <c r="R144" s="401"/>
    </row>
    <row r="145" spans="1:15" ht="15.75" thickBot="1" x14ac:dyDescent="0.3">
      <c r="A145" s="415" t="s">
        <v>147</v>
      </c>
      <c r="B145" s="416" t="s">
        <v>137</v>
      </c>
      <c r="C145" s="402"/>
      <c r="D145" s="131"/>
      <c r="E145" s="403"/>
      <c r="F145" s="133"/>
      <c r="G145" s="128"/>
      <c r="H145" s="62"/>
      <c r="I145" s="58"/>
      <c r="J145" s="282">
        <v>595000</v>
      </c>
      <c r="K145" s="281"/>
      <c r="L145" s="281"/>
      <c r="M145" s="289">
        <v>1020000</v>
      </c>
      <c r="N145" s="290"/>
      <c r="O145" s="289">
        <v>595000</v>
      </c>
    </row>
    <row r="146" spans="1:15" x14ac:dyDescent="0.25">
      <c r="A146" s="7" t="s">
        <v>127</v>
      </c>
      <c r="B146" s="188" t="s">
        <v>128</v>
      </c>
      <c r="C146" s="33" t="e">
        <f>C149+#REF!</f>
        <v>#REF!</v>
      </c>
      <c r="D146" s="134" t="e">
        <f>D149+#REF!</f>
        <v>#REF!</v>
      </c>
      <c r="E146" s="134" t="e">
        <f>E149+#REF!</f>
        <v>#REF!</v>
      </c>
      <c r="F146" s="25">
        <f t="shared" ref="F146:O146" si="75">F147+F156</f>
        <v>22000</v>
      </c>
      <c r="G146" s="85">
        <f t="shared" si="75"/>
        <v>0</v>
      </c>
      <c r="H146" s="38" t="e">
        <f t="shared" si="75"/>
        <v>#REF!</v>
      </c>
      <c r="I146" s="125" t="e">
        <f t="shared" si="75"/>
        <v>#REF!</v>
      </c>
      <c r="J146" s="246">
        <f t="shared" si="75"/>
        <v>230000</v>
      </c>
      <c r="K146" s="291" t="e">
        <f t="shared" si="75"/>
        <v>#REF!</v>
      </c>
      <c r="L146" s="291" t="e">
        <f t="shared" si="75"/>
        <v>#REF!</v>
      </c>
      <c r="M146" s="246">
        <f t="shared" si="75"/>
        <v>19000</v>
      </c>
      <c r="N146" s="291" t="e">
        <f t="shared" si="75"/>
        <v>#REF!</v>
      </c>
      <c r="O146" s="292">
        <f t="shared" si="75"/>
        <v>50000</v>
      </c>
    </row>
    <row r="147" spans="1:15" x14ac:dyDescent="0.25">
      <c r="A147" s="8" t="s">
        <v>5</v>
      </c>
      <c r="B147" s="184" t="s">
        <v>6</v>
      </c>
      <c r="C147" s="34" t="e">
        <f>C149+#REF!</f>
        <v>#REF!</v>
      </c>
      <c r="D147" s="135" t="e">
        <f>D149+#REF!</f>
        <v>#REF!</v>
      </c>
      <c r="E147" s="135" t="e">
        <f>E149+#REF!</f>
        <v>#REF!</v>
      </c>
      <c r="F147" s="26">
        <f>F148</f>
        <v>22000</v>
      </c>
      <c r="G147" s="86">
        <f>G148</f>
        <v>0</v>
      </c>
      <c r="H147" s="39" t="e">
        <f>H148</f>
        <v>#REF!</v>
      </c>
      <c r="I147" s="96" t="e">
        <f>I149+#REF!</f>
        <v>#REF!</v>
      </c>
      <c r="J147" s="247">
        <f>J148</f>
        <v>230000</v>
      </c>
      <c r="K147" s="293" t="e">
        <f>K149+#REF!</f>
        <v>#REF!</v>
      </c>
      <c r="L147" s="293" t="e">
        <f>L149+#REF!</f>
        <v>#REF!</v>
      </c>
      <c r="M147" s="247">
        <f>M148</f>
        <v>19000</v>
      </c>
      <c r="N147" s="294" t="e">
        <f>N149+#REF!</f>
        <v>#REF!</v>
      </c>
      <c r="O147" s="295">
        <f>O148</f>
        <v>50000</v>
      </c>
    </row>
    <row r="148" spans="1:15" x14ac:dyDescent="0.25">
      <c r="A148" s="52" t="s">
        <v>155</v>
      </c>
      <c r="B148" s="189" t="s">
        <v>164</v>
      </c>
      <c r="C148" s="57"/>
      <c r="D148" s="136"/>
      <c r="E148" s="136"/>
      <c r="F148" s="53">
        <f>F149+F153</f>
        <v>22000</v>
      </c>
      <c r="G148" s="87">
        <f>G149+G153</f>
        <v>0</v>
      </c>
      <c r="H148" s="56" t="e">
        <f>H149+H153+#REF!</f>
        <v>#REF!</v>
      </c>
      <c r="I148" s="97" t="e">
        <f>I149+#REF!</f>
        <v>#REF!</v>
      </c>
      <c r="J148" s="253">
        <f>J149+J153</f>
        <v>230000</v>
      </c>
      <c r="K148" s="296" t="e">
        <f>K149+#REF!</f>
        <v>#REF!</v>
      </c>
      <c r="L148" s="296" t="e">
        <f>L149+#REF!</f>
        <v>#REF!</v>
      </c>
      <c r="M148" s="253">
        <f>M149+M153</f>
        <v>19000</v>
      </c>
      <c r="N148" s="296" t="e">
        <f>N149+#REF!</f>
        <v>#REF!</v>
      </c>
      <c r="O148" s="253">
        <f>O149+O153</f>
        <v>50000</v>
      </c>
    </row>
    <row r="149" spans="1:15" x14ac:dyDescent="0.25">
      <c r="A149" s="9" t="s">
        <v>55</v>
      </c>
      <c r="B149" s="190" t="s">
        <v>56</v>
      </c>
      <c r="C149" s="35">
        <f>C150</f>
        <v>42026.13</v>
      </c>
      <c r="D149" s="137">
        <f t="shared" ref="D149:N149" si="76">D150</f>
        <v>30000</v>
      </c>
      <c r="E149" s="137">
        <f t="shared" si="76"/>
        <v>0</v>
      </c>
      <c r="F149" s="27">
        <f>SUM(F150:F152)</f>
        <v>15000</v>
      </c>
      <c r="G149" s="83">
        <f>SUM(G150:G152)</f>
        <v>0</v>
      </c>
      <c r="H149" s="40">
        <f>SUM(H150:H152)</f>
        <v>150000</v>
      </c>
      <c r="I149" s="126">
        <f t="shared" si="76"/>
        <v>150000</v>
      </c>
      <c r="J149" s="257">
        <f>SUM(J150:J152)</f>
        <v>110000</v>
      </c>
      <c r="K149" s="256">
        <f>K150</f>
        <v>0</v>
      </c>
      <c r="L149" s="256">
        <f>L150</f>
        <v>0</v>
      </c>
      <c r="M149" s="257">
        <f>M150+M151+M152</f>
        <v>15000</v>
      </c>
      <c r="N149" s="256">
        <f t="shared" si="76"/>
        <v>30000</v>
      </c>
      <c r="O149" s="257">
        <f>SUM(O150:O152)</f>
        <v>30000</v>
      </c>
    </row>
    <row r="150" spans="1:15" x14ac:dyDescent="0.25">
      <c r="A150" s="10" t="s">
        <v>61</v>
      </c>
      <c r="B150" s="191" t="s">
        <v>62</v>
      </c>
      <c r="C150" s="177">
        <v>42026.13</v>
      </c>
      <c r="D150" s="138">
        <v>30000</v>
      </c>
      <c r="E150" s="138">
        <v>0</v>
      </c>
      <c r="F150" s="138">
        <v>5000</v>
      </c>
      <c r="G150" s="99">
        <v>0</v>
      </c>
      <c r="H150" s="60">
        <v>150000</v>
      </c>
      <c r="I150" s="68">
        <v>150000</v>
      </c>
      <c r="J150" s="262">
        <v>30000</v>
      </c>
      <c r="K150" s="269">
        <v>0</v>
      </c>
      <c r="L150" s="269">
        <v>0</v>
      </c>
      <c r="M150" s="262">
        <v>5000</v>
      </c>
      <c r="N150" s="269">
        <v>30000</v>
      </c>
      <c r="O150" s="262">
        <v>10000</v>
      </c>
    </row>
    <row r="151" spans="1:15" x14ac:dyDescent="0.25">
      <c r="A151" s="10" t="s">
        <v>65</v>
      </c>
      <c r="B151" s="191" t="s">
        <v>66</v>
      </c>
      <c r="C151" s="177"/>
      <c r="D151" s="138"/>
      <c r="E151" s="138"/>
      <c r="F151" s="138">
        <v>5000</v>
      </c>
      <c r="G151" s="99">
        <v>0</v>
      </c>
      <c r="H151" s="60"/>
      <c r="I151" s="68"/>
      <c r="J151" s="262">
        <v>40000</v>
      </c>
      <c r="K151" s="269">
        <v>0</v>
      </c>
      <c r="L151" s="269">
        <v>0</v>
      </c>
      <c r="M151" s="262">
        <v>5000</v>
      </c>
      <c r="N151" s="269">
        <v>0</v>
      </c>
      <c r="O151" s="262">
        <v>10000</v>
      </c>
    </row>
    <row r="152" spans="1:15" x14ac:dyDescent="0.25">
      <c r="A152" s="10" t="s">
        <v>69</v>
      </c>
      <c r="B152" s="191" t="s">
        <v>70</v>
      </c>
      <c r="C152" s="177"/>
      <c r="D152" s="138"/>
      <c r="E152" s="138"/>
      <c r="F152" s="138">
        <v>5000</v>
      </c>
      <c r="G152" s="99">
        <v>0</v>
      </c>
      <c r="H152" s="60"/>
      <c r="I152" s="68"/>
      <c r="J152" s="262">
        <v>40000</v>
      </c>
      <c r="K152" s="269">
        <v>0</v>
      </c>
      <c r="L152" s="269">
        <v>0</v>
      </c>
      <c r="M152" s="262">
        <v>5000</v>
      </c>
      <c r="N152" s="269">
        <v>0</v>
      </c>
      <c r="O152" s="262">
        <v>10000</v>
      </c>
    </row>
    <row r="153" spans="1:15" x14ac:dyDescent="0.25">
      <c r="A153" s="9" t="s">
        <v>76</v>
      </c>
      <c r="B153" s="190" t="s">
        <v>77</v>
      </c>
      <c r="C153" s="177"/>
      <c r="D153" s="138"/>
      <c r="E153" s="138"/>
      <c r="F153" s="27">
        <f>SUM(F154:F155)</f>
        <v>7000</v>
      </c>
      <c r="G153" s="83">
        <f>SUM(G154:G155)</f>
        <v>0</v>
      </c>
      <c r="H153" s="40">
        <f>SUM(H154)</f>
        <v>0</v>
      </c>
      <c r="I153" s="40">
        <f>SUM(I154)</f>
        <v>0</v>
      </c>
      <c r="J153" s="257">
        <f>SUM(J154:J155)</f>
        <v>120000</v>
      </c>
      <c r="K153" s="256">
        <f t="shared" ref="K153:L153" si="77">SUM(K154)</f>
        <v>0</v>
      </c>
      <c r="L153" s="256">
        <f t="shared" si="77"/>
        <v>0</v>
      </c>
      <c r="M153" s="257">
        <f>SUM(M154:M155)</f>
        <v>4000</v>
      </c>
      <c r="N153" s="256">
        <f>SUM(N154)</f>
        <v>0</v>
      </c>
      <c r="O153" s="257">
        <f>SUM(O154:O155)</f>
        <v>20000</v>
      </c>
    </row>
    <row r="154" spans="1:15" x14ac:dyDescent="0.25">
      <c r="A154" s="10" t="s">
        <v>82</v>
      </c>
      <c r="B154" s="191" t="s">
        <v>83</v>
      </c>
      <c r="C154" s="177"/>
      <c r="D154" s="138"/>
      <c r="E154" s="138"/>
      <c r="F154" s="138">
        <v>2000</v>
      </c>
      <c r="G154" s="99">
        <v>0</v>
      </c>
      <c r="H154" s="159"/>
      <c r="I154" s="159"/>
      <c r="J154" s="262">
        <v>70000</v>
      </c>
      <c r="K154" s="269">
        <v>0</v>
      </c>
      <c r="L154" s="269">
        <v>0</v>
      </c>
      <c r="M154" s="262">
        <v>2000</v>
      </c>
      <c r="N154" s="297"/>
      <c r="O154" s="445">
        <v>10000</v>
      </c>
    </row>
    <row r="155" spans="1:15" x14ac:dyDescent="0.25">
      <c r="A155" s="13" t="s">
        <v>90</v>
      </c>
      <c r="B155" s="191" t="s">
        <v>77</v>
      </c>
      <c r="C155" s="177">
        <v>194561.68</v>
      </c>
      <c r="D155" s="138">
        <v>70000</v>
      </c>
      <c r="E155" s="138">
        <v>10000</v>
      </c>
      <c r="F155" s="138">
        <v>5000</v>
      </c>
      <c r="G155" s="99">
        <v>0</v>
      </c>
      <c r="H155" s="61">
        <v>550000</v>
      </c>
      <c r="I155" s="68">
        <v>550000</v>
      </c>
      <c r="J155" s="299">
        <v>50000</v>
      </c>
      <c r="K155" s="300">
        <v>0</v>
      </c>
      <c r="L155" s="300">
        <v>0</v>
      </c>
      <c r="M155" s="299">
        <v>2000</v>
      </c>
      <c r="N155" s="300">
        <v>170000</v>
      </c>
      <c r="O155" s="299">
        <v>10000</v>
      </c>
    </row>
    <row r="156" spans="1:15" x14ac:dyDescent="0.25">
      <c r="A156" s="8" t="s">
        <v>175</v>
      </c>
      <c r="B156" s="184" t="s">
        <v>176</v>
      </c>
      <c r="C156" s="86">
        <f>SUM(C158:C160)</f>
        <v>0</v>
      </c>
      <c r="D156" s="39">
        <f>SUM(D158:D160)</f>
        <v>304000</v>
      </c>
      <c r="E156" s="34">
        <f t="shared" ref="E156" si="78">SUM(E158)</f>
        <v>0</v>
      </c>
      <c r="F156" s="26">
        <f>F157</f>
        <v>0</v>
      </c>
      <c r="G156" s="86">
        <f>G157</f>
        <v>0</v>
      </c>
      <c r="H156" s="39">
        <f>H157</f>
        <v>200200</v>
      </c>
      <c r="I156" s="96">
        <f>SUM(I158:I160)</f>
        <v>200200</v>
      </c>
      <c r="J156" s="247">
        <f>J157</f>
        <v>0</v>
      </c>
      <c r="K156" s="293">
        <f t="shared" ref="K156:O156" si="79">SUM(K158:K160)</f>
        <v>0</v>
      </c>
      <c r="L156" s="293">
        <f t="shared" si="79"/>
        <v>0</v>
      </c>
      <c r="M156" s="247">
        <f t="shared" si="79"/>
        <v>0</v>
      </c>
      <c r="N156" s="293">
        <f t="shared" si="79"/>
        <v>0</v>
      </c>
      <c r="O156" s="247">
        <f t="shared" si="79"/>
        <v>0</v>
      </c>
    </row>
    <row r="157" spans="1:15" x14ac:dyDescent="0.25">
      <c r="A157" s="52" t="s">
        <v>155</v>
      </c>
      <c r="B157" s="189" t="s">
        <v>164</v>
      </c>
      <c r="C157" s="87"/>
      <c r="D157" s="56"/>
      <c r="E157" s="130"/>
      <c r="F157" s="53">
        <f>SUM(F158:F160)</f>
        <v>0</v>
      </c>
      <c r="G157" s="87">
        <f>SUM(G158:G160)</f>
        <v>0</v>
      </c>
      <c r="H157" s="56">
        <f>SUM(H158:H160)</f>
        <v>200200</v>
      </c>
      <c r="I157" s="97">
        <f>I158+I159+I160</f>
        <v>200200</v>
      </c>
      <c r="J157" s="253">
        <f>SUM(J158:J160)</f>
        <v>0</v>
      </c>
      <c r="K157" s="296">
        <f t="shared" ref="K157:O157" si="80">K158+K159+K160</f>
        <v>0</v>
      </c>
      <c r="L157" s="296">
        <f t="shared" si="80"/>
        <v>0</v>
      </c>
      <c r="M157" s="253">
        <f t="shared" si="80"/>
        <v>0</v>
      </c>
      <c r="N157" s="296">
        <f t="shared" si="80"/>
        <v>0</v>
      </c>
      <c r="O157" s="253">
        <f t="shared" si="80"/>
        <v>0</v>
      </c>
    </row>
    <row r="158" spans="1:15" x14ac:dyDescent="0.25">
      <c r="A158" s="10" t="s">
        <v>61</v>
      </c>
      <c r="B158" s="191" t="s">
        <v>62</v>
      </c>
      <c r="C158" s="160">
        <v>0</v>
      </c>
      <c r="D158" s="41">
        <v>100000</v>
      </c>
      <c r="E158" s="131">
        <v>0</v>
      </c>
      <c r="F158" s="139">
        <v>0</v>
      </c>
      <c r="G158" s="131">
        <v>0</v>
      </c>
      <c r="H158" s="166">
        <v>70000</v>
      </c>
      <c r="I158" s="157">
        <v>70000</v>
      </c>
      <c r="J158" s="301">
        <v>0</v>
      </c>
      <c r="K158" s="302">
        <v>0</v>
      </c>
      <c r="L158" s="302">
        <v>0</v>
      </c>
      <c r="M158" s="301">
        <v>0</v>
      </c>
      <c r="N158" s="302">
        <v>0</v>
      </c>
      <c r="O158" s="301">
        <v>0</v>
      </c>
    </row>
    <row r="159" spans="1:15" x14ac:dyDescent="0.25">
      <c r="A159" s="10" t="s">
        <v>65</v>
      </c>
      <c r="B159" s="191" t="s">
        <v>66</v>
      </c>
      <c r="C159" s="160">
        <v>0</v>
      </c>
      <c r="D159" s="41">
        <v>10000</v>
      </c>
      <c r="E159" s="99">
        <v>0</v>
      </c>
      <c r="F159" s="138">
        <v>0</v>
      </c>
      <c r="G159" s="99">
        <v>0</v>
      </c>
      <c r="H159" s="60">
        <v>20000</v>
      </c>
      <c r="I159" s="157">
        <v>20000</v>
      </c>
      <c r="J159" s="301">
        <v>0</v>
      </c>
      <c r="K159" s="302">
        <v>0</v>
      </c>
      <c r="L159" s="302">
        <v>0</v>
      </c>
      <c r="M159" s="301">
        <v>0</v>
      </c>
      <c r="N159" s="302">
        <v>0</v>
      </c>
      <c r="O159" s="301">
        <v>0</v>
      </c>
    </row>
    <row r="160" spans="1:15" ht="15.75" thickBot="1" x14ac:dyDescent="0.3">
      <c r="A160" s="11" t="s">
        <v>90</v>
      </c>
      <c r="B160" s="192" t="s">
        <v>77</v>
      </c>
      <c r="C160" s="161">
        <v>0</v>
      </c>
      <c r="D160" s="42">
        <v>194000</v>
      </c>
      <c r="E160" s="132">
        <v>0</v>
      </c>
      <c r="F160" s="140">
        <v>0</v>
      </c>
      <c r="G160" s="132">
        <v>0</v>
      </c>
      <c r="H160" s="167">
        <v>110200</v>
      </c>
      <c r="I160" s="158">
        <v>110200</v>
      </c>
      <c r="J160" s="303">
        <v>0</v>
      </c>
      <c r="K160" s="304">
        <v>0</v>
      </c>
      <c r="L160" s="304">
        <v>0</v>
      </c>
      <c r="M160" s="303">
        <v>0</v>
      </c>
      <c r="N160" s="304">
        <v>0</v>
      </c>
      <c r="O160" s="303">
        <v>0</v>
      </c>
    </row>
    <row r="161" spans="1:15" ht="15.75" thickBot="1" x14ac:dyDescent="0.3">
      <c r="A161" s="31" t="s">
        <v>129</v>
      </c>
      <c r="B161" s="194" t="s">
        <v>135</v>
      </c>
      <c r="C161" s="163">
        <f>C162</f>
        <v>2918492.43</v>
      </c>
      <c r="D161" s="93">
        <f t="shared" ref="D161:O162" si="81">D162</f>
        <v>5364250</v>
      </c>
      <c r="E161" s="88">
        <f t="shared" si="81"/>
        <v>979312.5</v>
      </c>
      <c r="F161" s="32">
        <f t="shared" si="81"/>
        <v>4446000</v>
      </c>
      <c r="G161" s="88">
        <f t="shared" si="81"/>
        <v>559900.91</v>
      </c>
      <c r="H161" s="32">
        <f t="shared" si="81"/>
        <v>5077500</v>
      </c>
      <c r="I161" s="32">
        <f t="shared" si="81"/>
        <v>5501750</v>
      </c>
      <c r="J161" s="305">
        <f t="shared" si="81"/>
        <v>5025000</v>
      </c>
      <c r="K161" s="306">
        <f t="shared" si="81"/>
        <v>4127500</v>
      </c>
      <c r="L161" s="306">
        <f t="shared" si="81"/>
        <v>4798000</v>
      </c>
      <c r="M161" s="305">
        <f>M162</f>
        <v>5945000</v>
      </c>
      <c r="N161" s="307">
        <f t="shared" si="81"/>
        <v>4376000</v>
      </c>
      <c r="O161" s="308">
        <f t="shared" si="81"/>
        <v>5025000</v>
      </c>
    </row>
    <row r="162" spans="1:15" x14ac:dyDescent="0.25">
      <c r="A162" s="7" t="s">
        <v>130</v>
      </c>
      <c r="B162" s="188" t="s">
        <v>136</v>
      </c>
      <c r="C162" s="156">
        <f>C163</f>
        <v>2918492.43</v>
      </c>
      <c r="D162" s="38">
        <f t="shared" si="81"/>
        <v>5364250</v>
      </c>
      <c r="E162" s="156">
        <f t="shared" si="81"/>
        <v>979312.5</v>
      </c>
      <c r="F162" s="25">
        <f>F163</f>
        <v>4446000</v>
      </c>
      <c r="G162" s="85">
        <f>G163</f>
        <v>559900.91</v>
      </c>
      <c r="H162" s="33">
        <f>H163</f>
        <v>5077500</v>
      </c>
      <c r="I162" s="25">
        <f>I163</f>
        <v>5501750</v>
      </c>
      <c r="J162" s="246">
        <f>J163</f>
        <v>5025000</v>
      </c>
      <c r="K162" s="309">
        <f t="shared" si="81"/>
        <v>4127500</v>
      </c>
      <c r="L162" s="310">
        <f t="shared" si="81"/>
        <v>4798000</v>
      </c>
      <c r="M162" s="246">
        <f t="shared" si="81"/>
        <v>5945000</v>
      </c>
      <c r="N162" s="311">
        <f t="shared" si="81"/>
        <v>4376000</v>
      </c>
      <c r="O162" s="246">
        <f t="shared" si="81"/>
        <v>5025000</v>
      </c>
    </row>
    <row r="163" spans="1:15" x14ac:dyDescent="0.25">
      <c r="A163" s="8" t="s">
        <v>5</v>
      </c>
      <c r="B163" s="184" t="s">
        <v>6</v>
      </c>
      <c r="C163" s="129">
        <f>C167+C173</f>
        <v>2918492.43</v>
      </c>
      <c r="D163" s="39">
        <f t="shared" ref="D163:E163" si="82">D167+D173</f>
        <v>5364250</v>
      </c>
      <c r="E163" s="129">
        <f t="shared" si="82"/>
        <v>979312.5</v>
      </c>
      <c r="F163" s="26">
        <f>F164+F172</f>
        <v>4446000</v>
      </c>
      <c r="G163" s="86">
        <f>G164+G172</f>
        <v>559900.91</v>
      </c>
      <c r="H163" s="86">
        <f>H164+H172</f>
        <v>5077500</v>
      </c>
      <c r="I163" s="26">
        <f>I167+I172</f>
        <v>5501750</v>
      </c>
      <c r="J163" s="247">
        <f>J164+J172</f>
        <v>5025000</v>
      </c>
      <c r="K163" s="312">
        <f t="shared" ref="K163:L163" si="83">K167+K172</f>
        <v>4127500</v>
      </c>
      <c r="L163" s="313">
        <f t="shared" si="83"/>
        <v>4798000</v>
      </c>
      <c r="M163" s="247">
        <f>M164+M172</f>
        <v>5945000</v>
      </c>
      <c r="N163" s="314">
        <f t="shared" ref="N163" si="84">N167+N172</f>
        <v>4376000</v>
      </c>
      <c r="O163" s="247">
        <f>O164+O172</f>
        <v>5025000</v>
      </c>
    </row>
    <row r="164" spans="1:15" x14ac:dyDescent="0.25">
      <c r="A164" s="52" t="s">
        <v>155</v>
      </c>
      <c r="B164" s="189" t="s">
        <v>164</v>
      </c>
      <c r="C164" s="130"/>
      <c r="D164" s="56"/>
      <c r="E164" s="130"/>
      <c r="F164" s="53">
        <f>F165+F167</f>
        <v>4446000</v>
      </c>
      <c r="G164" s="87">
        <f t="shared" ref="G164" si="85">SUM(G169:G171)</f>
        <v>559900.91</v>
      </c>
      <c r="H164" s="87">
        <f>SUM(H169:H171)</f>
        <v>4127500</v>
      </c>
      <c r="I164" s="53">
        <f>I167</f>
        <v>5438000</v>
      </c>
      <c r="J164" s="253">
        <f>J165+J167</f>
        <v>5025000</v>
      </c>
      <c r="K164" s="315">
        <f>K167</f>
        <v>4127500</v>
      </c>
      <c r="L164" s="316">
        <f>L167</f>
        <v>4760500</v>
      </c>
      <c r="M164" s="253">
        <f>M165+M167</f>
        <v>5545000</v>
      </c>
      <c r="N164" s="317">
        <f>N167</f>
        <v>4338500</v>
      </c>
      <c r="O164" s="253">
        <f>O165+O167</f>
        <v>5025000</v>
      </c>
    </row>
    <row r="165" spans="1:15" x14ac:dyDescent="0.25">
      <c r="A165" s="9" t="s">
        <v>33</v>
      </c>
      <c r="B165" s="190" t="s">
        <v>181</v>
      </c>
      <c r="C165" s="130"/>
      <c r="D165" s="56"/>
      <c r="E165" s="130"/>
      <c r="F165" s="215">
        <f>F166</f>
        <v>95000</v>
      </c>
      <c r="G165" s="216">
        <f>G166</f>
        <v>0</v>
      </c>
      <c r="H165" s="216">
        <f>H166</f>
        <v>0</v>
      </c>
      <c r="I165" s="215">
        <f>I166</f>
        <v>0</v>
      </c>
      <c r="J165" s="318">
        <f>SUM(J166:J166)</f>
        <v>130000</v>
      </c>
      <c r="K165" s="319">
        <f t="shared" ref="K165:O165" si="86">K166</f>
        <v>0</v>
      </c>
      <c r="L165" s="320">
        <f t="shared" si="86"/>
        <v>0</v>
      </c>
      <c r="M165" s="318">
        <f>SUM(M166:M166)</f>
        <v>150000</v>
      </c>
      <c r="N165" s="321">
        <f t="shared" si="86"/>
        <v>0</v>
      </c>
      <c r="O165" s="318">
        <f t="shared" si="86"/>
        <v>130000</v>
      </c>
    </row>
    <row r="166" spans="1:15" x14ac:dyDescent="0.25">
      <c r="A166" s="10" t="s">
        <v>39</v>
      </c>
      <c r="B166" s="191" t="s">
        <v>40</v>
      </c>
      <c r="C166" s="101"/>
      <c r="D166" s="69"/>
      <c r="E166" s="101"/>
      <c r="F166" s="214">
        <v>95000</v>
      </c>
      <c r="G166" s="150">
        <v>0</v>
      </c>
      <c r="H166" s="150">
        <v>0</v>
      </c>
      <c r="I166" s="214">
        <v>0</v>
      </c>
      <c r="J166" s="322">
        <v>130000</v>
      </c>
      <c r="K166" s="323">
        <v>0</v>
      </c>
      <c r="L166" s="324">
        <v>0</v>
      </c>
      <c r="M166" s="322">
        <v>150000</v>
      </c>
      <c r="N166" s="325">
        <v>0</v>
      </c>
      <c r="O166" s="322">
        <v>130000</v>
      </c>
    </row>
    <row r="167" spans="1:15" x14ac:dyDescent="0.25">
      <c r="A167" s="9" t="s">
        <v>55</v>
      </c>
      <c r="B167" s="190" t="s">
        <v>56</v>
      </c>
      <c r="C167" s="98">
        <f>SUM(C169:C171)</f>
        <v>2918492.43</v>
      </c>
      <c r="D167" s="40">
        <f t="shared" ref="D167:G167" si="87">SUM(D169:D171)</f>
        <v>5364250</v>
      </c>
      <c r="E167" s="98">
        <f t="shared" si="87"/>
        <v>979312.5</v>
      </c>
      <c r="F167" s="27">
        <f>SUM(F168:F171)</f>
        <v>4351000</v>
      </c>
      <c r="G167" s="83">
        <f t="shared" si="87"/>
        <v>559900.91</v>
      </c>
      <c r="H167" s="83">
        <f>SUM(H169:H171)</f>
        <v>4127500</v>
      </c>
      <c r="I167" s="27">
        <f>SUM(I169:I171)</f>
        <v>5438000</v>
      </c>
      <c r="J167" s="257">
        <f>SUM(J168:J171)</f>
        <v>4895000</v>
      </c>
      <c r="K167" s="326">
        <v>4127500</v>
      </c>
      <c r="L167" s="327">
        <f>SUM(L169:L171)</f>
        <v>4760500</v>
      </c>
      <c r="M167" s="257">
        <f>SUM(M168:M171)</f>
        <v>5395000</v>
      </c>
      <c r="N167" s="328">
        <f>SUM(N169:N171)</f>
        <v>4338500</v>
      </c>
      <c r="O167" s="257">
        <f>SUM(O168:O171)</f>
        <v>4895000</v>
      </c>
    </row>
    <row r="168" spans="1:15" x14ac:dyDescent="0.25">
      <c r="A168" s="10">
        <v>3231</v>
      </c>
      <c r="B168" s="191" t="s">
        <v>182</v>
      </c>
      <c r="C168" s="175">
        <v>109500</v>
      </c>
      <c r="D168" s="60">
        <v>217500</v>
      </c>
      <c r="E168" s="99">
        <v>0</v>
      </c>
      <c r="F168" s="29">
        <v>0</v>
      </c>
      <c r="G168" s="84">
        <v>0</v>
      </c>
      <c r="H168" s="84">
        <v>217500</v>
      </c>
      <c r="I168" s="29">
        <v>250000</v>
      </c>
      <c r="J168" s="262">
        <v>0</v>
      </c>
      <c r="K168" s="329">
        <v>217500</v>
      </c>
      <c r="L168" s="330">
        <v>250000</v>
      </c>
      <c r="M168" s="262">
        <v>0</v>
      </c>
      <c r="N168" s="331">
        <v>28000</v>
      </c>
      <c r="O168" s="262">
        <v>0</v>
      </c>
    </row>
    <row r="169" spans="1:15" x14ac:dyDescent="0.25">
      <c r="A169" s="10" t="s">
        <v>59</v>
      </c>
      <c r="B169" s="191" t="s">
        <v>60</v>
      </c>
      <c r="C169" s="175">
        <v>109500</v>
      </c>
      <c r="D169" s="60">
        <v>217500</v>
      </c>
      <c r="E169" s="99">
        <v>0</v>
      </c>
      <c r="F169" s="29">
        <v>28500</v>
      </c>
      <c r="G169" s="84">
        <v>0</v>
      </c>
      <c r="H169" s="84">
        <v>217500</v>
      </c>
      <c r="I169" s="29">
        <v>250000</v>
      </c>
      <c r="J169" s="262">
        <v>250000</v>
      </c>
      <c r="K169" s="329">
        <v>217500</v>
      </c>
      <c r="L169" s="330">
        <v>250000</v>
      </c>
      <c r="M169" s="262">
        <v>250000</v>
      </c>
      <c r="N169" s="331">
        <v>28000</v>
      </c>
      <c r="O169" s="262">
        <v>250000</v>
      </c>
    </row>
    <row r="170" spans="1:15" x14ac:dyDescent="0.25">
      <c r="A170" s="10" t="s">
        <v>69</v>
      </c>
      <c r="B170" s="191" t="s">
        <v>70</v>
      </c>
      <c r="C170" s="175">
        <v>2808992.43</v>
      </c>
      <c r="D170" s="60">
        <v>5136750</v>
      </c>
      <c r="E170" s="99">
        <v>979312.5</v>
      </c>
      <c r="F170" s="29">
        <v>4275000</v>
      </c>
      <c r="G170" s="84">
        <v>559900.91</v>
      </c>
      <c r="H170" s="84">
        <v>3900000</v>
      </c>
      <c r="I170" s="29">
        <v>4738000</v>
      </c>
      <c r="J170" s="262">
        <v>4605000</v>
      </c>
      <c r="K170" s="329">
        <v>3900000</v>
      </c>
      <c r="L170" s="330">
        <v>4500500</v>
      </c>
      <c r="M170" s="262">
        <v>5105000</v>
      </c>
      <c r="N170" s="331">
        <v>4300500</v>
      </c>
      <c r="O170" s="262">
        <v>4605000</v>
      </c>
    </row>
    <row r="171" spans="1:15" x14ac:dyDescent="0.25">
      <c r="A171" s="10" t="s">
        <v>71</v>
      </c>
      <c r="B171" s="191" t="s">
        <v>72</v>
      </c>
      <c r="C171" s="175">
        <v>0</v>
      </c>
      <c r="D171" s="60">
        <v>10000</v>
      </c>
      <c r="E171" s="99">
        <v>0</v>
      </c>
      <c r="F171" s="29">
        <v>47500</v>
      </c>
      <c r="G171" s="84">
        <v>0</v>
      </c>
      <c r="H171" s="84">
        <v>10000</v>
      </c>
      <c r="I171" s="29">
        <v>450000</v>
      </c>
      <c r="J171" s="262">
        <v>40000</v>
      </c>
      <c r="K171" s="329">
        <v>10000</v>
      </c>
      <c r="L171" s="330">
        <v>10000</v>
      </c>
      <c r="M171" s="262">
        <v>40000</v>
      </c>
      <c r="N171" s="331">
        <v>10000</v>
      </c>
      <c r="O171" s="262">
        <v>40000</v>
      </c>
    </row>
    <row r="172" spans="1:15" x14ac:dyDescent="0.25">
      <c r="A172" s="52" t="s">
        <v>157</v>
      </c>
      <c r="B172" s="189" t="s">
        <v>167</v>
      </c>
      <c r="C172" s="130"/>
      <c r="D172" s="67"/>
      <c r="E172" s="100"/>
      <c r="F172" s="54">
        <f t="shared" ref="F172:O172" si="88">F173</f>
        <v>0</v>
      </c>
      <c r="G172" s="148">
        <f t="shared" si="88"/>
        <v>0</v>
      </c>
      <c r="H172" s="148">
        <f t="shared" si="88"/>
        <v>950000</v>
      </c>
      <c r="I172" s="54">
        <f t="shared" si="88"/>
        <v>63750</v>
      </c>
      <c r="J172" s="265">
        <f t="shared" si="88"/>
        <v>0</v>
      </c>
      <c r="K172" s="332">
        <f t="shared" si="88"/>
        <v>0</v>
      </c>
      <c r="L172" s="333">
        <f t="shared" si="88"/>
        <v>37500</v>
      </c>
      <c r="M172" s="265">
        <f t="shared" si="88"/>
        <v>400000</v>
      </c>
      <c r="N172" s="334">
        <f t="shared" si="88"/>
        <v>37500</v>
      </c>
      <c r="O172" s="270">
        <f t="shared" si="88"/>
        <v>0</v>
      </c>
    </row>
    <row r="173" spans="1:15" x14ac:dyDescent="0.25">
      <c r="A173" s="9" t="s">
        <v>103</v>
      </c>
      <c r="B173" s="190" t="s">
        <v>104</v>
      </c>
      <c r="C173" s="98">
        <f>SUM(C174)</f>
        <v>0</v>
      </c>
      <c r="D173" s="40">
        <f t="shared" ref="D173:O173" si="89">SUM(D174)</f>
        <v>0</v>
      </c>
      <c r="E173" s="98">
        <f t="shared" si="89"/>
        <v>0</v>
      </c>
      <c r="F173" s="27">
        <f t="shared" si="89"/>
        <v>0</v>
      </c>
      <c r="G173" s="83">
        <f t="shared" si="89"/>
        <v>0</v>
      </c>
      <c r="H173" s="83">
        <f>SUM(H174)</f>
        <v>950000</v>
      </c>
      <c r="I173" s="27">
        <f t="shared" si="89"/>
        <v>63750</v>
      </c>
      <c r="J173" s="256">
        <f>SUM(J174)</f>
        <v>0</v>
      </c>
      <c r="K173" s="326">
        <f t="shared" si="89"/>
        <v>0</v>
      </c>
      <c r="L173" s="327">
        <f t="shared" si="89"/>
        <v>37500</v>
      </c>
      <c r="M173" s="256">
        <f>M174</f>
        <v>400000</v>
      </c>
      <c r="N173" s="328">
        <f t="shared" si="89"/>
        <v>37500</v>
      </c>
      <c r="O173" s="257">
        <f t="shared" si="89"/>
        <v>0</v>
      </c>
    </row>
    <row r="174" spans="1:15" x14ac:dyDescent="0.25">
      <c r="A174" s="13" t="s">
        <v>147</v>
      </c>
      <c r="B174" s="225" t="s">
        <v>137</v>
      </c>
      <c r="C174" s="179">
        <v>0</v>
      </c>
      <c r="D174" s="61">
        <v>0</v>
      </c>
      <c r="E174" s="95">
        <v>0</v>
      </c>
      <c r="F174" s="226">
        <v>0</v>
      </c>
      <c r="G174" s="231">
        <v>0</v>
      </c>
      <c r="H174" s="231">
        <v>950000</v>
      </c>
      <c r="I174" s="226">
        <f>37500+26250</f>
        <v>63750</v>
      </c>
      <c r="J174" s="299"/>
      <c r="K174" s="335">
        <v>0</v>
      </c>
      <c r="L174" s="336">
        <v>37500</v>
      </c>
      <c r="M174" s="299">
        <v>400000</v>
      </c>
      <c r="N174" s="337">
        <v>37500</v>
      </c>
      <c r="O174" s="299"/>
    </row>
    <row r="175" spans="1:15" ht="15.75" thickBot="1" x14ac:dyDescent="0.3">
      <c r="A175" s="31" t="s">
        <v>131</v>
      </c>
      <c r="B175" s="194" t="s">
        <v>138</v>
      </c>
      <c r="C175" s="227">
        <f>C176</f>
        <v>46937128.599999994</v>
      </c>
      <c r="D175" s="228">
        <f t="shared" ref="D175:H175" si="90">D176</f>
        <v>88052464</v>
      </c>
      <c r="E175" s="229">
        <f t="shared" si="90"/>
        <v>14639633.819999998</v>
      </c>
      <c r="F175" s="230">
        <f t="shared" si="90"/>
        <v>92897434</v>
      </c>
      <c r="G175" s="229">
        <f t="shared" si="90"/>
        <v>44635135.100000001</v>
      </c>
      <c r="H175" s="230">
        <f t="shared" si="90"/>
        <v>73833400</v>
      </c>
      <c r="I175" s="230">
        <f>I176</f>
        <v>97770650</v>
      </c>
      <c r="J175" s="340">
        <f>J176</f>
        <v>66228805.75</v>
      </c>
      <c r="K175" s="341">
        <f t="shared" ref="K175:O175" si="91">K176</f>
        <v>69369580</v>
      </c>
      <c r="L175" s="341">
        <f t="shared" si="91"/>
        <v>91616745</v>
      </c>
      <c r="M175" s="340">
        <f>M176</f>
        <v>66228805.75</v>
      </c>
      <c r="N175" s="342">
        <f t="shared" si="91"/>
        <v>89614800</v>
      </c>
      <c r="O175" s="343">
        <f t="shared" si="91"/>
        <v>67978805.75</v>
      </c>
    </row>
    <row r="176" spans="1:15" x14ac:dyDescent="0.25">
      <c r="A176" s="15" t="s">
        <v>132</v>
      </c>
      <c r="B176" s="195" t="s">
        <v>139</v>
      </c>
      <c r="C176" s="90">
        <f>SUM(C177)</f>
        <v>46937128.599999994</v>
      </c>
      <c r="D176" s="64">
        <f>D177+D215</f>
        <v>88052464</v>
      </c>
      <c r="E176" s="90">
        <f>E177+E215</f>
        <v>14639633.819999998</v>
      </c>
      <c r="F176" s="109">
        <f t="shared" ref="F176:O176" si="92">F177+F215</f>
        <v>92897434</v>
      </c>
      <c r="G176" s="145">
        <f t="shared" si="92"/>
        <v>44635135.100000001</v>
      </c>
      <c r="H176" s="145">
        <f t="shared" si="92"/>
        <v>73833400</v>
      </c>
      <c r="I176" s="145">
        <f t="shared" si="92"/>
        <v>97770650</v>
      </c>
      <c r="J176" s="344">
        <f t="shared" si="92"/>
        <v>66228805.75</v>
      </c>
      <c r="K176" s="345">
        <f t="shared" si="92"/>
        <v>69369580</v>
      </c>
      <c r="L176" s="345">
        <f t="shared" si="92"/>
        <v>91616745</v>
      </c>
      <c r="M176" s="344">
        <f t="shared" si="92"/>
        <v>66228805.75</v>
      </c>
      <c r="N176" s="345">
        <f t="shared" si="92"/>
        <v>89614800</v>
      </c>
      <c r="O176" s="346">
        <f t="shared" si="92"/>
        <v>67978805.75</v>
      </c>
    </row>
    <row r="177" spans="1:18" x14ac:dyDescent="0.25">
      <c r="A177" s="8" t="s">
        <v>150</v>
      </c>
      <c r="B177" s="184" t="s">
        <v>151</v>
      </c>
      <c r="C177" s="91">
        <f>C179+C184+C188+C192+C195+C204+C208+C213+C182</f>
        <v>46937128.599999994</v>
      </c>
      <c r="D177" s="65">
        <f t="shared" ref="D177:E177" si="93">D179+D184+D188+D192+D195+D204+D208+D213+D182</f>
        <v>13950604</v>
      </c>
      <c r="E177" s="91">
        <f t="shared" si="93"/>
        <v>2195692.5799999996</v>
      </c>
      <c r="F177" s="208">
        <f t="shared" ref="F177" si="94">F178+F187+F207</f>
        <v>14233867</v>
      </c>
      <c r="G177" s="146">
        <f>G178+G187+G207</f>
        <v>6695270.2000000011</v>
      </c>
      <c r="H177" s="65">
        <f>H178+H187+H207</f>
        <v>11988365</v>
      </c>
      <c r="I177" s="146">
        <f>I179+I184+I188+I192+I195+I204+I208+I213+I182</f>
        <v>14963615</v>
      </c>
      <c r="J177" s="338">
        <f>J178+J187+J207</f>
        <v>9927462</v>
      </c>
      <c r="K177" s="339">
        <f>K178+K187+K207</f>
        <v>11333995</v>
      </c>
      <c r="L177" s="339">
        <f t="shared" ref="L177" si="95">L179+L184+L188+L192+L195+L204+L208+L213+L182</f>
        <v>14046510</v>
      </c>
      <c r="M177" s="338">
        <f>M178+M187+M207</f>
        <v>9927462</v>
      </c>
      <c r="N177" s="339">
        <f t="shared" ref="N177" si="96">N179+N184+N188+N192+N195+N204+N208+N213+N182</f>
        <v>13746815</v>
      </c>
      <c r="O177" s="338">
        <f>O178+O187+O207</f>
        <v>10189962</v>
      </c>
    </row>
    <row r="178" spans="1:18" x14ac:dyDescent="0.25">
      <c r="A178" s="52" t="s">
        <v>7</v>
      </c>
      <c r="B178" s="189" t="s">
        <v>165</v>
      </c>
      <c r="C178" s="92"/>
      <c r="D178" s="66"/>
      <c r="E178" s="92"/>
      <c r="F178" s="209">
        <f t="shared" ref="F178:G178" si="97">F179+F182+F184</f>
        <v>7226430</v>
      </c>
      <c r="G178" s="147">
        <f t="shared" si="97"/>
        <v>4322585.9800000004</v>
      </c>
      <c r="H178" s="66">
        <f>H179+H182+H184</f>
        <v>6249000</v>
      </c>
      <c r="I178" s="147">
        <f>I179+I182+I184</f>
        <v>6211725</v>
      </c>
      <c r="J178" s="347">
        <f>J179+J182+J184</f>
        <v>7312212</v>
      </c>
      <c r="K178" s="347">
        <v>6159000</v>
      </c>
      <c r="L178" s="347">
        <f t="shared" ref="L178" si="98">L179+L182+L184</f>
        <v>6211725</v>
      </c>
      <c r="M178" s="348">
        <f>M179+M182+M184</f>
        <v>7312212</v>
      </c>
      <c r="N178" s="347">
        <f>N179+N182+N184</f>
        <v>6211725</v>
      </c>
      <c r="O178" s="348">
        <f>O179+O182+O184</f>
        <v>7312212</v>
      </c>
    </row>
    <row r="179" spans="1:18" x14ac:dyDescent="0.25">
      <c r="A179" s="16" t="s">
        <v>19</v>
      </c>
      <c r="B179" s="196" t="s">
        <v>20</v>
      </c>
      <c r="C179" s="98">
        <f>SUM(C180:C181)</f>
        <v>19445858.819999997</v>
      </c>
      <c r="D179" s="40">
        <f>SUM(D180:D181)</f>
        <v>5265000</v>
      </c>
      <c r="E179" s="98">
        <f t="shared" ref="E179:O179" si="99">SUM(E180:E181)</f>
        <v>1388212.88</v>
      </c>
      <c r="F179" s="27">
        <f t="shared" si="99"/>
        <v>6141142</v>
      </c>
      <c r="G179" s="83">
        <f t="shared" si="99"/>
        <v>3713304.58</v>
      </c>
      <c r="H179" s="40">
        <f t="shared" si="99"/>
        <v>5265000</v>
      </c>
      <c r="I179" s="83">
        <f t="shared" si="99"/>
        <v>5265000</v>
      </c>
      <c r="J179" s="257">
        <f t="shared" si="99"/>
        <v>6199312</v>
      </c>
      <c r="K179" s="349">
        <f t="shared" si="99"/>
        <v>5265000</v>
      </c>
      <c r="L179" s="349">
        <f t="shared" si="99"/>
        <v>5265000</v>
      </c>
      <c r="M179" s="256">
        <f t="shared" si="99"/>
        <v>6199312</v>
      </c>
      <c r="N179" s="256">
        <f t="shared" si="99"/>
        <v>5265000</v>
      </c>
      <c r="O179" s="257">
        <f t="shared" si="99"/>
        <v>6199312</v>
      </c>
      <c r="R179" s="203">
        <f>J179+J217</f>
        <v>41368062</v>
      </c>
    </row>
    <row r="180" spans="1:18" x14ac:dyDescent="0.25">
      <c r="A180" s="17" t="s">
        <v>21</v>
      </c>
      <c r="B180" s="196" t="s">
        <v>22</v>
      </c>
      <c r="C180" s="175">
        <v>19057303.079999998</v>
      </c>
      <c r="D180" s="60">
        <v>5205000</v>
      </c>
      <c r="E180" s="99">
        <v>1360597.45</v>
      </c>
      <c r="F180" s="138">
        <v>6084830</v>
      </c>
      <c r="G180" s="99">
        <v>3713060.41</v>
      </c>
      <c r="H180" s="60">
        <v>5205000</v>
      </c>
      <c r="I180" s="84">
        <v>5205000</v>
      </c>
      <c r="J180" s="262">
        <v>6143000</v>
      </c>
      <c r="K180" s="261">
        <v>5205000</v>
      </c>
      <c r="L180" s="261">
        <v>5205000</v>
      </c>
      <c r="M180" s="350">
        <v>6143000</v>
      </c>
      <c r="N180" s="269">
        <v>5205000</v>
      </c>
      <c r="O180" s="262">
        <v>6143000</v>
      </c>
      <c r="R180" s="401">
        <f>J110+J128+J139</f>
        <v>5200000</v>
      </c>
    </row>
    <row r="181" spans="1:18" x14ac:dyDescent="0.25">
      <c r="A181" s="17" t="s">
        <v>23</v>
      </c>
      <c r="B181" s="196" t="s">
        <v>24</v>
      </c>
      <c r="C181" s="175">
        <v>388555.74</v>
      </c>
      <c r="D181" s="60">
        <v>60000</v>
      </c>
      <c r="E181" s="99">
        <v>27615.43</v>
      </c>
      <c r="F181" s="138">
        <v>56312</v>
      </c>
      <c r="G181" s="99">
        <v>244.17</v>
      </c>
      <c r="H181" s="60">
        <v>60000</v>
      </c>
      <c r="I181" s="84">
        <v>60000</v>
      </c>
      <c r="J181" s="262">
        <v>56312</v>
      </c>
      <c r="K181" s="261">
        <v>60000</v>
      </c>
      <c r="L181" s="261">
        <v>60000</v>
      </c>
      <c r="M181" s="350">
        <v>56312</v>
      </c>
      <c r="N181" s="269">
        <v>60000</v>
      </c>
      <c r="O181" s="262">
        <v>56312</v>
      </c>
    </row>
    <row r="182" spans="1:18" x14ac:dyDescent="0.25">
      <c r="A182" s="16" t="s">
        <v>25</v>
      </c>
      <c r="B182" s="196" t="s">
        <v>26</v>
      </c>
      <c r="C182" s="98">
        <f>SUM(C183)</f>
        <v>420000</v>
      </c>
      <c r="D182" s="40">
        <f t="shared" ref="D182:O182" si="100">SUM(D183)</f>
        <v>78000</v>
      </c>
      <c r="E182" s="98">
        <f t="shared" si="100"/>
        <v>375</v>
      </c>
      <c r="F182" s="27">
        <f t="shared" si="100"/>
        <v>72000</v>
      </c>
      <c r="G182" s="83">
        <f t="shared" si="100"/>
        <v>46350</v>
      </c>
      <c r="H182" s="40">
        <f>SUM(H183)</f>
        <v>78000</v>
      </c>
      <c r="I182" s="83">
        <f t="shared" si="100"/>
        <v>78000</v>
      </c>
      <c r="J182" s="256">
        <f>SUM(J183)</f>
        <v>90000</v>
      </c>
      <c r="K182" s="349">
        <f t="shared" si="100"/>
        <v>78000</v>
      </c>
      <c r="L182" s="349">
        <f t="shared" si="100"/>
        <v>78000</v>
      </c>
      <c r="M182" s="256">
        <f>SUM(M183)</f>
        <v>90000</v>
      </c>
      <c r="N182" s="256">
        <f t="shared" si="100"/>
        <v>78000</v>
      </c>
      <c r="O182" s="257">
        <f t="shared" si="100"/>
        <v>90000</v>
      </c>
    </row>
    <row r="183" spans="1:18" x14ac:dyDescent="0.25">
      <c r="A183" s="17" t="s">
        <v>27</v>
      </c>
      <c r="B183" s="196" t="s">
        <v>26</v>
      </c>
      <c r="C183" s="175">
        <f>195000+225000</f>
        <v>420000</v>
      </c>
      <c r="D183" s="60">
        <v>78000</v>
      </c>
      <c r="E183" s="99">
        <v>375</v>
      </c>
      <c r="F183" s="138">
        <v>72000</v>
      </c>
      <c r="G183" s="99">
        <v>46350</v>
      </c>
      <c r="H183" s="60">
        <v>78000</v>
      </c>
      <c r="I183" s="84">
        <v>78000</v>
      </c>
      <c r="J183" s="262">
        <v>90000</v>
      </c>
      <c r="K183" s="261">
        <v>78000</v>
      </c>
      <c r="L183" s="261">
        <v>78000</v>
      </c>
      <c r="M183" s="350">
        <v>90000</v>
      </c>
      <c r="N183" s="269">
        <v>78000</v>
      </c>
      <c r="O183" s="262">
        <v>90000</v>
      </c>
    </row>
    <row r="184" spans="1:18" x14ac:dyDescent="0.25">
      <c r="A184" s="16" t="s">
        <v>28</v>
      </c>
      <c r="B184" s="196" t="s">
        <v>29</v>
      </c>
      <c r="C184" s="98">
        <f t="shared" ref="C184:G184" si="101">SUM(C185:C186)</f>
        <v>2768999.24</v>
      </c>
      <c r="D184" s="40">
        <f>SUM(D185:D186)</f>
        <v>906000</v>
      </c>
      <c r="E184" s="98">
        <f t="shared" si="101"/>
        <v>196805.74</v>
      </c>
      <c r="F184" s="27">
        <f t="shared" si="101"/>
        <v>1013288</v>
      </c>
      <c r="G184" s="83">
        <f t="shared" si="101"/>
        <v>562931.4</v>
      </c>
      <c r="H184" s="40">
        <f t="shared" ref="H184:O184" si="102">SUM(H185:H186)</f>
        <v>906000</v>
      </c>
      <c r="I184" s="83">
        <f t="shared" si="102"/>
        <v>868725</v>
      </c>
      <c r="J184" s="256">
        <f t="shared" si="102"/>
        <v>1022900</v>
      </c>
      <c r="K184" s="349">
        <f t="shared" si="102"/>
        <v>816000</v>
      </c>
      <c r="L184" s="349">
        <f t="shared" si="102"/>
        <v>868725</v>
      </c>
      <c r="M184" s="256">
        <f t="shared" si="102"/>
        <v>1022900</v>
      </c>
      <c r="N184" s="256">
        <f t="shared" si="102"/>
        <v>868725</v>
      </c>
      <c r="O184" s="257">
        <f t="shared" si="102"/>
        <v>1022900</v>
      </c>
    </row>
    <row r="185" spans="1:18" x14ac:dyDescent="0.25">
      <c r="A185" s="17" t="s">
        <v>30</v>
      </c>
      <c r="B185" s="196" t="s">
        <v>31</v>
      </c>
      <c r="C185" s="175">
        <v>2495252.52</v>
      </c>
      <c r="D185" s="60">
        <v>816000</v>
      </c>
      <c r="E185" s="99">
        <f>151589.68+41314.69</f>
        <v>192904.37</v>
      </c>
      <c r="F185" s="138">
        <v>1013288</v>
      </c>
      <c r="G185" s="99">
        <v>562931.4</v>
      </c>
      <c r="H185" s="60">
        <v>816000</v>
      </c>
      <c r="I185" s="84">
        <f>I179*16.5/100</f>
        <v>868725</v>
      </c>
      <c r="J185" s="262">
        <v>1022900</v>
      </c>
      <c r="K185" s="261">
        <v>816000</v>
      </c>
      <c r="L185" s="261">
        <f>L179*16.5/100</f>
        <v>868725</v>
      </c>
      <c r="M185" s="350">
        <v>1022900</v>
      </c>
      <c r="N185" s="269">
        <f>N179*16.5/100</f>
        <v>868725</v>
      </c>
      <c r="O185" s="262">
        <v>1022900</v>
      </c>
    </row>
    <row r="186" spans="1:18" x14ac:dyDescent="0.25">
      <c r="A186" s="17" t="s">
        <v>32</v>
      </c>
      <c r="B186" s="196" t="s">
        <v>140</v>
      </c>
      <c r="C186" s="175">
        <v>273746.71999999997</v>
      </c>
      <c r="D186" s="60">
        <v>90000</v>
      </c>
      <c r="E186" s="99">
        <v>3901.37</v>
      </c>
      <c r="F186" s="138">
        <v>0</v>
      </c>
      <c r="G186" s="99">
        <v>0</v>
      </c>
      <c r="H186" s="60">
        <v>90000</v>
      </c>
      <c r="I186" s="84">
        <v>0</v>
      </c>
      <c r="J186" s="262">
        <v>0</v>
      </c>
      <c r="K186" s="261">
        <v>0</v>
      </c>
      <c r="L186" s="261">
        <v>0</v>
      </c>
      <c r="M186" s="350">
        <v>0</v>
      </c>
      <c r="N186" s="261">
        <v>0</v>
      </c>
      <c r="O186" s="262">
        <v>0</v>
      </c>
    </row>
    <row r="187" spans="1:18" x14ac:dyDescent="0.25">
      <c r="A187" s="52" t="s">
        <v>155</v>
      </c>
      <c r="B187" s="189" t="s">
        <v>164</v>
      </c>
      <c r="C187" s="130"/>
      <c r="D187" s="67"/>
      <c r="E187" s="100"/>
      <c r="F187" s="54">
        <f>F188+F192+F195+F204</f>
        <v>4780250</v>
      </c>
      <c r="G187" s="148">
        <f>G188+G192+G195+G204</f>
        <v>2371154.2200000002</v>
      </c>
      <c r="H187" s="67">
        <f>H188+H192+H195+H204</f>
        <v>5445050</v>
      </c>
      <c r="I187" s="148">
        <f>I188+I192+I195+I204</f>
        <v>7692000</v>
      </c>
      <c r="J187" s="270">
        <f>J188+J192+J195+J204</f>
        <v>2583750</v>
      </c>
      <c r="K187" s="265">
        <v>4995050</v>
      </c>
      <c r="L187" s="265">
        <f t="shared" ref="L187:O187" si="103">L188+L192+L195+L204</f>
        <v>7581145</v>
      </c>
      <c r="M187" s="270">
        <f t="shared" si="103"/>
        <v>2583750</v>
      </c>
      <c r="N187" s="270">
        <f t="shared" si="103"/>
        <v>6801450</v>
      </c>
      <c r="O187" s="270">
        <f t="shared" si="103"/>
        <v>2591250</v>
      </c>
    </row>
    <row r="188" spans="1:18" x14ac:dyDescent="0.25">
      <c r="A188" s="16" t="s">
        <v>33</v>
      </c>
      <c r="B188" s="196" t="s">
        <v>34</v>
      </c>
      <c r="C188" s="98">
        <f t="shared" ref="C188:G188" si="104">SUM(C189:C191)</f>
        <v>1090599.9099999999</v>
      </c>
      <c r="D188" s="40">
        <f>SUM(D189:D191)</f>
        <v>283500</v>
      </c>
      <c r="E188" s="98">
        <f t="shared" si="104"/>
        <v>97220.160000000003</v>
      </c>
      <c r="F188" s="27">
        <f t="shared" si="104"/>
        <v>253500</v>
      </c>
      <c r="G188" s="83">
        <f t="shared" si="104"/>
        <v>84803.839999999997</v>
      </c>
      <c r="H188" s="40">
        <f t="shared" ref="H188:O188" si="105">SUM(H189:H191)</f>
        <v>283500</v>
      </c>
      <c r="I188" s="83">
        <f t="shared" si="105"/>
        <v>478500</v>
      </c>
      <c r="J188" s="256">
        <f t="shared" si="105"/>
        <v>420000</v>
      </c>
      <c r="K188" s="349">
        <f t="shared" si="105"/>
        <v>283500</v>
      </c>
      <c r="L188" s="349">
        <f t="shared" si="105"/>
        <v>457145</v>
      </c>
      <c r="M188" s="256">
        <f t="shared" si="105"/>
        <v>420000</v>
      </c>
      <c r="N188" s="256">
        <f t="shared" si="105"/>
        <v>458700</v>
      </c>
      <c r="O188" s="257">
        <f t="shared" si="105"/>
        <v>420000</v>
      </c>
      <c r="Q188" s="401"/>
    </row>
    <row r="189" spans="1:18" x14ac:dyDescent="0.25">
      <c r="A189" s="17" t="s">
        <v>35</v>
      </c>
      <c r="B189" s="196" t="s">
        <v>36</v>
      </c>
      <c r="C189" s="175">
        <v>473145.16</v>
      </c>
      <c r="D189" s="60">
        <v>105000</v>
      </c>
      <c r="E189" s="99">
        <v>14576.8</v>
      </c>
      <c r="F189" s="138">
        <v>37500</v>
      </c>
      <c r="G189" s="99">
        <v>75</v>
      </c>
      <c r="H189" s="60">
        <v>105000</v>
      </c>
      <c r="I189" s="84">
        <v>150000</v>
      </c>
      <c r="J189" s="262">
        <v>135000</v>
      </c>
      <c r="K189" s="261">
        <v>105000</v>
      </c>
      <c r="L189" s="261">
        <v>150000</v>
      </c>
      <c r="M189" s="350">
        <v>135000</v>
      </c>
      <c r="N189" s="269">
        <v>150000</v>
      </c>
      <c r="O189" s="262">
        <v>135000</v>
      </c>
      <c r="Q189" s="203"/>
      <c r="R189" s="203"/>
    </row>
    <row r="190" spans="1:18" x14ac:dyDescent="0.25">
      <c r="A190" s="17" t="s">
        <v>37</v>
      </c>
      <c r="B190" s="196" t="s">
        <v>38</v>
      </c>
      <c r="C190" s="175">
        <v>395630.01</v>
      </c>
      <c r="D190" s="60">
        <v>126000</v>
      </c>
      <c r="E190" s="99">
        <v>58393.55</v>
      </c>
      <c r="F190" s="138">
        <v>156000</v>
      </c>
      <c r="G190" s="99">
        <v>72881.33</v>
      </c>
      <c r="H190" s="60">
        <v>126000</v>
      </c>
      <c r="I190" s="84">
        <v>126000</v>
      </c>
      <c r="J190" s="262">
        <v>165000</v>
      </c>
      <c r="K190" s="261">
        <v>126000</v>
      </c>
      <c r="L190" s="261">
        <v>126000</v>
      </c>
      <c r="M190" s="350">
        <v>165000</v>
      </c>
      <c r="N190" s="269">
        <v>126000</v>
      </c>
      <c r="O190" s="262">
        <v>165000</v>
      </c>
      <c r="R190" s="203"/>
    </row>
    <row r="191" spans="1:18" x14ac:dyDescent="0.25">
      <c r="A191" s="17" t="s">
        <v>39</v>
      </c>
      <c r="B191" s="196" t="s">
        <v>40</v>
      </c>
      <c r="C191" s="175">
        <v>221824.74</v>
      </c>
      <c r="D191" s="60">
        <v>52500</v>
      </c>
      <c r="E191" s="99">
        <v>24249.81</v>
      </c>
      <c r="F191" s="138">
        <v>60000</v>
      </c>
      <c r="G191" s="99">
        <v>11847.51</v>
      </c>
      <c r="H191" s="60">
        <v>52500</v>
      </c>
      <c r="I191" s="84">
        <v>202500</v>
      </c>
      <c r="J191" s="262">
        <v>120000</v>
      </c>
      <c r="K191" s="261">
        <v>52500</v>
      </c>
      <c r="L191" s="261">
        <v>181145</v>
      </c>
      <c r="M191" s="350">
        <v>120000</v>
      </c>
      <c r="N191" s="269">
        <v>182700</v>
      </c>
      <c r="O191" s="262">
        <v>120000</v>
      </c>
      <c r="R191" s="203"/>
    </row>
    <row r="192" spans="1:18" x14ac:dyDescent="0.25">
      <c r="A192" s="16" t="s">
        <v>43</v>
      </c>
      <c r="B192" s="196" t="s">
        <v>44</v>
      </c>
      <c r="C192" s="98">
        <f>SUM(C193:C194)</f>
        <v>1231505.3</v>
      </c>
      <c r="D192" s="40">
        <f>SUM(D193:D194)</f>
        <v>412500</v>
      </c>
      <c r="E192" s="98">
        <f t="shared" ref="E192:O192" si="106">SUM(E193:E194)</f>
        <v>76504.36</v>
      </c>
      <c r="F192" s="27">
        <f t="shared" si="106"/>
        <v>532500</v>
      </c>
      <c r="G192" s="83">
        <f t="shared" si="106"/>
        <v>106394.39</v>
      </c>
      <c r="H192" s="40">
        <f t="shared" si="106"/>
        <v>412500</v>
      </c>
      <c r="I192" s="83">
        <f t="shared" si="106"/>
        <v>412500</v>
      </c>
      <c r="J192" s="257">
        <f t="shared" si="106"/>
        <v>502500</v>
      </c>
      <c r="K192" s="349">
        <f t="shared" si="106"/>
        <v>412500</v>
      </c>
      <c r="L192" s="349">
        <f t="shared" si="106"/>
        <v>412500</v>
      </c>
      <c r="M192" s="256">
        <f t="shared" si="106"/>
        <v>502500</v>
      </c>
      <c r="N192" s="256">
        <f t="shared" si="106"/>
        <v>412500</v>
      </c>
      <c r="O192" s="257">
        <f t="shared" si="106"/>
        <v>510000</v>
      </c>
    </row>
    <row r="193" spans="1:18" x14ac:dyDescent="0.25">
      <c r="A193" s="17" t="s">
        <v>45</v>
      </c>
      <c r="B193" s="196" t="s">
        <v>46</v>
      </c>
      <c r="C193" s="175">
        <v>843399.06</v>
      </c>
      <c r="D193" s="60">
        <v>255000</v>
      </c>
      <c r="E193" s="99">
        <v>51004.36</v>
      </c>
      <c r="F193" s="138">
        <v>300000</v>
      </c>
      <c r="G193" s="99">
        <v>32400.58</v>
      </c>
      <c r="H193" s="60">
        <v>255000</v>
      </c>
      <c r="I193" s="149">
        <v>255000</v>
      </c>
      <c r="J193" s="262">
        <v>247500</v>
      </c>
      <c r="K193" s="261">
        <v>255000</v>
      </c>
      <c r="L193" s="261">
        <v>255000</v>
      </c>
      <c r="M193" s="350">
        <v>247500</v>
      </c>
      <c r="N193" s="261">
        <v>255000</v>
      </c>
      <c r="O193" s="262">
        <v>255000</v>
      </c>
    </row>
    <row r="194" spans="1:18" x14ac:dyDescent="0.25">
      <c r="A194" s="17" t="s">
        <v>47</v>
      </c>
      <c r="B194" s="196" t="s">
        <v>48</v>
      </c>
      <c r="C194" s="160">
        <v>388106.23999999999</v>
      </c>
      <c r="D194" s="84">
        <v>157500</v>
      </c>
      <c r="E194" s="99">
        <v>25500</v>
      </c>
      <c r="F194" s="138">
        <v>232500</v>
      </c>
      <c r="G194" s="99">
        <v>73993.81</v>
      </c>
      <c r="H194" s="60">
        <v>157500</v>
      </c>
      <c r="I194" s="149">
        <v>157500</v>
      </c>
      <c r="J194" s="262">
        <v>255000</v>
      </c>
      <c r="K194" s="261">
        <v>157500</v>
      </c>
      <c r="L194" s="261">
        <v>157500</v>
      </c>
      <c r="M194" s="350">
        <v>255000</v>
      </c>
      <c r="N194" s="261">
        <v>157500</v>
      </c>
      <c r="O194" s="262">
        <v>255000</v>
      </c>
      <c r="R194" s="203"/>
    </row>
    <row r="195" spans="1:18" x14ac:dyDescent="0.25">
      <c r="A195" s="16" t="s">
        <v>55</v>
      </c>
      <c r="B195" s="196" t="s">
        <v>56</v>
      </c>
      <c r="C195" s="83">
        <f>SUM(C196:C203)</f>
        <v>14632682.41</v>
      </c>
      <c r="D195" s="83">
        <f>SUM(D196:D203)</f>
        <v>6044504</v>
      </c>
      <c r="E195" s="98">
        <f t="shared" ref="E195:O195" si="107">SUM(E196:E203)</f>
        <v>223129.96000000002</v>
      </c>
      <c r="F195" s="27">
        <f>SUM(F196:F203)</f>
        <v>3971750</v>
      </c>
      <c r="G195" s="83">
        <f>SUM(G196:G203)</f>
        <v>2179955.9900000002</v>
      </c>
      <c r="H195" s="40">
        <f t="shared" si="107"/>
        <v>4734050</v>
      </c>
      <c r="I195" s="83">
        <f t="shared" si="107"/>
        <v>6778500</v>
      </c>
      <c r="J195" s="257">
        <f t="shared" si="107"/>
        <v>1638750</v>
      </c>
      <c r="K195" s="349">
        <f t="shared" si="107"/>
        <v>4284050</v>
      </c>
      <c r="L195" s="349">
        <f t="shared" si="107"/>
        <v>6689000</v>
      </c>
      <c r="M195" s="256">
        <f t="shared" si="107"/>
        <v>1638750</v>
      </c>
      <c r="N195" s="256">
        <f t="shared" si="107"/>
        <v>5907750</v>
      </c>
      <c r="O195" s="257">
        <f t="shared" si="107"/>
        <v>1638750</v>
      </c>
      <c r="R195" s="203"/>
    </row>
    <row r="196" spans="1:18" x14ac:dyDescent="0.25">
      <c r="A196" s="17" t="s">
        <v>57</v>
      </c>
      <c r="B196" s="196" t="s">
        <v>58</v>
      </c>
      <c r="C196" s="160">
        <v>600381.51</v>
      </c>
      <c r="D196" s="84">
        <v>105000</v>
      </c>
      <c r="E196" s="99">
        <v>24750</v>
      </c>
      <c r="F196" s="138">
        <v>176250</v>
      </c>
      <c r="G196" s="99">
        <v>0</v>
      </c>
      <c r="H196" s="60">
        <v>105000</v>
      </c>
      <c r="I196" s="149">
        <v>105000</v>
      </c>
      <c r="J196" s="262">
        <v>176250</v>
      </c>
      <c r="K196" s="261">
        <v>105000</v>
      </c>
      <c r="L196" s="261">
        <v>105000</v>
      </c>
      <c r="M196" s="350">
        <v>176250</v>
      </c>
      <c r="N196" s="261">
        <v>105000</v>
      </c>
      <c r="O196" s="262">
        <v>176250</v>
      </c>
      <c r="R196" s="203">
        <f>J196+J234</f>
        <v>1175000</v>
      </c>
    </row>
    <row r="197" spans="1:18" x14ac:dyDescent="0.25">
      <c r="A197" s="17" t="s">
        <v>59</v>
      </c>
      <c r="B197" s="196" t="s">
        <v>60</v>
      </c>
      <c r="C197" s="160">
        <v>2494350.0099999998</v>
      </c>
      <c r="D197" s="84">
        <v>770950</v>
      </c>
      <c r="E197" s="99">
        <v>7500</v>
      </c>
      <c r="F197" s="138">
        <v>450000</v>
      </c>
      <c r="G197" s="99">
        <v>208426.58</v>
      </c>
      <c r="H197" s="60">
        <v>372050</v>
      </c>
      <c r="I197" s="84">
        <f>695000+100000</f>
        <v>795000</v>
      </c>
      <c r="J197" s="262">
        <v>105000</v>
      </c>
      <c r="K197" s="261">
        <v>372050</v>
      </c>
      <c r="L197" s="261">
        <f>750500+100000</f>
        <v>850500</v>
      </c>
      <c r="M197" s="350">
        <v>105000</v>
      </c>
      <c r="N197" s="269">
        <f>760000+100000</f>
        <v>860000</v>
      </c>
      <c r="O197" s="262">
        <v>105000</v>
      </c>
    </row>
    <row r="198" spans="1:18" x14ac:dyDescent="0.25">
      <c r="A198" s="17" t="s">
        <v>61</v>
      </c>
      <c r="B198" s="196" t="s">
        <v>62</v>
      </c>
      <c r="C198" s="160">
        <v>368204.13</v>
      </c>
      <c r="D198" s="84">
        <v>75000</v>
      </c>
      <c r="E198" s="99">
        <v>9490.2999999999993</v>
      </c>
      <c r="F198" s="138">
        <v>30000</v>
      </c>
      <c r="G198" s="99">
        <v>7462.49</v>
      </c>
      <c r="H198" s="60">
        <v>75000</v>
      </c>
      <c r="I198" s="84">
        <v>75000</v>
      </c>
      <c r="J198" s="262">
        <v>52500</v>
      </c>
      <c r="K198" s="261">
        <v>75000</v>
      </c>
      <c r="L198" s="261">
        <v>75000</v>
      </c>
      <c r="M198" s="350">
        <v>52500</v>
      </c>
      <c r="N198" s="269">
        <v>75000</v>
      </c>
      <c r="O198" s="262">
        <v>52500</v>
      </c>
    </row>
    <row r="199" spans="1:18" x14ac:dyDescent="0.25">
      <c r="A199" s="17" t="s">
        <v>63</v>
      </c>
      <c r="B199" s="196" t="s">
        <v>64</v>
      </c>
      <c r="C199" s="160">
        <v>400000</v>
      </c>
      <c r="D199" s="84">
        <v>22500</v>
      </c>
      <c r="E199" s="99"/>
      <c r="F199" s="138">
        <v>135000</v>
      </c>
      <c r="G199" s="99">
        <v>45000</v>
      </c>
      <c r="H199" s="60">
        <v>22500</v>
      </c>
      <c r="I199" s="149">
        <v>22500</v>
      </c>
      <c r="J199" s="262">
        <v>135000</v>
      </c>
      <c r="K199" s="261">
        <v>22500</v>
      </c>
      <c r="L199" s="261">
        <v>22500</v>
      </c>
      <c r="M199" s="350">
        <v>135000</v>
      </c>
      <c r="N199" s="261">
        <v>22500</v>
      </c>
      <c r="O199" s="262">
        <v>135000</v>
      </c>
    </row>
    <row r="200" spans="1:18" x14ac:dyDescent="0.25">
      <c r="A200" s="17" t="s">
        <v>65</v>
      </c>
      <c r="B200" s="196" t="s">
        <v>66</v>
      </c>
      <c r="C200" s="160">
        <v>2049086.52</v>
      </c>
      <c r="D200" s="84">
        <v>480000</v>
      </c>
      <c r="E200" s="99">
        <v>84958.86</v>
      </c>
      <c r="F200" s="138">
        <v>787000</v>
      </c>
      <c r="G200" s="99">
        <v>477625.57</v>
      </c>
      <c r="H200" s="60">
        <v>480000</v>
      </c>
      <c r="I200" s="149">
        <v>487000</v>
      </c>
      <c r="J200" s="262">
        <v>525000</v>
      </c>
      <c r="K200" s="261">
        <v>480000</v>
      </c>
      <c r="L200" s="261">
        <v>487000</v>
      </c>
      <c r="M200" s="350">
        <v>525000</v>
      </c>
      <c r="N200" s="261">
        <v>487000</v>
      </c>
      <c r="O200" s="262">
        <v>525000</v>
      </c>
      <c r="R200" s="203">
        <f>J200+J238</f>
        <v>3500000</v>
      </c>
    </row>
    <row r="201" spans="1:18" x14ac:dyDescent="0.25">
      <c r="A201" s="17" t="s">
        <v>69</v>
      </c>
      <c r="B201" s="196" t="s">
        <v>70</v>
      </c>
      <c r="C201" s="175">
        <v>1210507.45</v>
      </c>
      <c r="D201" s="60">
        <v>327000</v>
      </c>
      <c r="E201" s="99">
        <v>79930.8</v>
      </c>
      <c r="F201" s="138">
        <v>487500</v>
      </c>
      <c r="G201" s="99">
        <v>103203.35</v>
      </c>
      <c r="H201" s="60">
        <v>327000</v>
      </c>
      <c r="I201" s="84">
        <v>327000</v>
      </c>
      <c r="J201" s="262">
        <v>450000</v>
      </c>
      <c r="K201" s="261">
        <v>327000</v>
      </c>
      <c r="L201" s="261">
        <v>327000</v>
      </c>
      <c r="M201" s="350">
        <v>450000</v>
      </c>
      <c r="N201" s="269">
        <v>327000</v>
      </c>
      <c r="O201" s="262">
        <v>450000</v>
      </c>
      <c r="R201" s="203">
        <v>6200000</v>
      </c>
    </row>
    <row r="202" spans="1:18" x14ac:dyDescent="0.25">
      <c r="A202" s="17" t="s">
        <v>114</v>
      </c>
      <c r="B202" s="196" t="s">
        <v>115</v>
      </c>
      <c r="C202" s="175">
        <v>7172482.8300000001</v>
      </c>
      <c r="D202" s="60">
        <v>4211554</v>
      </c>
      <c r="E202" s="99">
        <v>0</v>
      </c>
      <c r="F202" s="138">
        <v>1711000</v>
      </c>
      <c r="G202" s="99">
        <v>1233238</v>
      </c>
      <c r="H202" s="60">
        <v>3300000</v>
      </c>
      <c r="I202" s="84">
        <v>4847000</v>
      </c>
      <c r="J202" s="262">
        <v>0</v>
      </c>
      <c r="K202" s="261">
        <v>2850000</v>
      </c>
      <c r="L202" s="261">
        <f>4702000</f>
        <v>4702000</v>
      </c>
      <c r="M202" s="350">
        <v>0</v>
      </c>
      <c r="N202" s="269">
        <f>3911250</f>
        <v>3911250</v>
      </c>
      <c r="O202" s="262">
        <v>0</v>
      </c>
      <c r="R202" s="401">
        <f>J46</f>
        <v>7134000</v>
      </c>
    </row>
    <row r="203" spans="1:18" x14ac:dyDescent="0.25">
      <c r="A203" s="17" t="s">
        <v>71</v>
      </c>
      <c r="B203" s="196" t="s">
        <v>72</v>
      </c>
      <c r="C203" s="175">
        <v>337669.96</v>
      </c>
      <c r="D203" s="60">
        <v>52500</v>
      </c>
      <c r="E203" s="99">
        <v>16500</v>
      </c>
      <c r="F203" s="138">
        <v>195000</v>
      </c>
      <c r="G203" s="99">
        <v>105000</v>
      </c>
      <c r="H203" s="60">
        <v>52500</v>
      </c>
      <c r="I203" s="149">
        <v>120000</v>
      </c>
      <c r="J203" s="262">
        <v>195000</v>
      </c>
      <c r="K203" s="261">
        <v>52500</v>
      </c>
      <c r="L203" s="261">
        <v>120000</v>
      </c>
      <c r="M203" s="350">
        <v>195000</v>
      </c>
      <c r="N203" s="261">
        <v>120000</v>
      </c>
      <c r="O203" s="262">
        <v>195000</v>
      </c>
      <c r="R203" s="203">
        <f>SUM(R200:R202)</f>
        <v>16834000</v>
      </c>
    </row>
    <row r="204" spans="1:18" x14ac:dyDescent="0.25">
      <c r="A204" s="16" t="s">
        <v>76</v>
      </c>
      <c r="B204" s="196" t="s">
        <v>77</v>
      </c>
      <c r="C204" s="98">
        <f>SUM(C206)</f>
        <v>7589.94</v>
      </c>
      <c r="D204" s="40">
        <f t="shared" ref="D204:E204" si="108">SUM(D206)</f>
        <v>15000</v>
      </c>
      <c r="E204" s="98">
        <f t="shared" si="108"/>
        <v>342.7</v>
      </c>
      <c r="F204" s="27">
        <f t="shared" ref="F204:G204" si="109">SUM(F205:F206)</f>
        <v>22500</v>
      </c>
      <c r="G204" s="83">
        <f t="shared" si="109"/>
        <v>0</v>
      </c>
      <c r="H204" s="40">
        <f t="shared" ref="H204:O204" si="110">SUM(H205:H206)</f>
        <v>15000</v>
      </c>
      <c r="I204" s="83">
        <f t="shared" si="110"/>
        <v>22500</v>
      </c>
      <c r="J204" s="256">
        <f t="shared" si="110"/>
        <v>22500</v>
      </c>
      <c r="K204" s="256">
        <f t="shared" si="110"/>
        <v>22500</v>
      </c>
      <c r="L204" s="256">
        <f t="shared" si="110"/>
        <v>22500</v>
      </c>
      <c r="M204" s="256">
        <f t="shared" si="110"/>
        <v>22500</v>
      </c>
      <c r="N204" s="256">
        <f t="shared" si="110"/>
        <v>22500</v>
      </c>
      <c r="O204" s="257">
        <f t="shared" si="110"/>
        <v>22500</v>
      </c>
    </row>
    <row r="205" spans="1:18" x14ac:dyDescent="0.25">
      <c r="A205" s="18" t="s">
        <v>80</v>
      </c>
      <c r="B205" s="197" t="s">
        <v>81</v>
      </c>
      <c r="C205" s="178"/>
      <c r="D205" s="69"/>
      <c r="E205" s="101"/>
      <c r="F205" s="151">
        <v>7500</v>
      </c>
      <c r="G205" s="101">
        <v>0</v>
      </c>
      <c r="H205" s="69"/>
      <c r="I205" s="150">
        <v>7500</v>
      </c>
      <c r="J205" s="322">
        <v>7500</v>
      </c>
      <c r="K205" s="351">
        <v>7500</v>
      </c>
      <c r="L205" s="351">
        <v>7500</v>
      </c>
      <c r="M205" s="352">
        <v>7500</v>
      </c>
      <c r="N205" s="353">
        <v>7500</v>
      </c>
      <c r="O205" s="322">
        <v>7500</v>
      </c>
    </row>
    <row r="206" spans="1:18" x14ac:dyDescent="0.25">
      <c r="A206" s="18" t="s">
        <v>82</v>
      </c>
      <c r="B206" s="197" t="s">
        <v>83</v>
      </c>
      <c r="C206" s="179">
        <v>7589.94</v>
      </c>
      <c r="D206" s="60">
        <v>15000</v>
      </c>
      <c r="E206" s="99">
        <v>342.7</v>
      </c>
      <c r="F206" s="138">
        <v>15000</v>
      </c>
      <c r="G206" s="99">
        <v>0</v>
      </c>
      <c r="H206" s="60">
        <v>15000</v>
      </c>
      <c r="I206" s="84">
        <v>15000</v>
      </c>
      <c r="J206" s="262">
        <v>15000</v>
      </c>
      <c r="K206" s="261">
        <v>15000</v>
      </c>
      <c r="L206" s="261">
        <v>15000</v>
      </c>
      <c r="M206" s="350">
        <v>15000</v>
      </c>
      <c r="N206" s="269">
        <v>15000</v>
      </c>
      <c r="O206" s="262">
        <v>15000</v>
      </c>
      <c r="R206" s="203"/>
    </row>
    <row r="207" spans="1:18" x14ac:dyDescent="0.25">
      <c r="A207" s="52" t="s">
        <v>157</v>
      </c>
      <c r="B207" s="189" t="s">
        <v>167</v>
      </c>
      <c r="C207" s="180"/>
      <c r="D207" s="67"/>
      <c r="E207" s="100"/>
      <c r="F207" s="54">
        <f t="shared" ref="F207:G207" si="111">F208+F213</f>
        <v>2227187</v>
      </c>
      <c r="G207" s="148">
        <f t="shared" si="111"/>
        <v>1530</v>
      </c>
      <c r="H207" s="67">
        <f>H208+H213</f>
        <v>294315</v>
      </c>
      <c r="I207" s="148">
        <f>I208+I213</f>
        <v>1059890</v>
      </c>
      <c r="J207" s="270">
        <f>J208+J213</f>
        <v>31500</v>
      </c>
      <c r="K207" s="265">
        <v>179945</v>
      </c>
      <c r="L207" s="265">
        <f t="shared" ref="L207" si="112">L208+L213</f>
        <v>253640</v>
      </c>
      <c r="M207" s="270">
        <f>M208+M213</f>
        <v>31500</v>
      </c>
      <c r="N207" s="265">
        <f t="shared" ref="N207:O207" si="113">N208+N213</f>
        <v>733640</v>
      </c>
      <c r="O207" s="270">
        <f t="shared" si="113"/>
        <v>286500</v>
      </c>
      <c r="R207" s="203"/>
    </row>
    <row r="208" spans="1:18" x14ac:dyDescent="0.25">
      <c r="A208" s="16" t="s">
        <v>103</v>
      </c>
      <c r="B208" s="196" t="s">
        <v>104</v>
      </c>
      <c r="C208" s="98">
        <f>SUM(C209:C210)</f>
        <v>7132178.4800000004</v>
      </c>
      <c r="D208" s="40">
        <f>SUM(D209:D212)</f>
        <v>466100</v>
      </c>
      <c r="E208" s="98">
        <f>SUM(E209:E212)</f>
        <v>213101.78</v>
      </c>
      <c r="F208" s="27">
        <f>SUM(F209:F212)</f>
        <v>2227187</v>
      </c>
      <c r="G208" s="83">
        <f>SUM(G209:G212)</f>
        <v>1530</v>
      </c>
      <c r="H208" s="40">
        <f t="shared" ref="H208:O208" si="114">SUM(H209:H212)</f>
        <v>294315</v>
      </c>
      <c r="I208" s="83">
        <f t="shared" si="114"/>
        <v>1059890</v>
      </c>
      <c r="J208" s="257">
        <f t="shared" si="114"/>
        <v>31500</v>
      </c>
      <c r="K208" s="349">
        <f t="shared" si="114"/>
        <v>180515</v>
      </c>
      <c r="L208" s="349">
        <f t="shared" si="114"/>
        <v>253640</v>
      </c>
      <c r="M208" s="257">
        <f t="shared" si="114"/>
        <v>31500</v>
      </c>
      <c r="N208" s="256">
        <f t="shared" si="114"/>
        <v>253640</v>
      </c>
      <c r="O208" s="257">
        <f t="shared" si="114"/>
        <v>31500</v>
      </c>
    </row>
    <row r="209" spans="1:59" x14ac:dyDescent="0.25">
      <c r="A209" s="18" t="s">
        <v>105</v>
      </c>
      <c r="B209" s="196" t="s">
        <v>106</v>
      </c>
      <c r="C209" s="175">
        <v>7132178.4800000004</v>
      </c>
      <c r="D209" s="60">
        <v>425000</v>
      </c>
      <c r="E209" s="99">
        <v>191551.84</v>
      </c>
      <c r="F209" s="138">
        <v>2119000</v>
      </c>
      <c r="G209" s="99">
        <v>0</v>
      </c>
      <c r="H209" s="60">
        <v>283800</v>
      </c>
      <c r="I209" s="84">
        <f>800000</f>
        <v>800000</v>
      </c>
      <c r="J209" s="262">
        <v>30000</v>
      </c>
      <c r="K209" s="261">
        <v>170000</v>
      </c>
      <c r="L209" s="261">
        <v>50000</v>
      </c>
      <c r="M209" s="350">
        <v>30000</v>
      </c>
      <c r="N209" s="269">
        <f>50000</f>
        <v>50000</v>
      </c>
      <c r="O209" s="262">
        <v>30000</v>
      </c>
      <c r="R209" s="203"/>
    </row>
    <row r="210" spans="1:59" x14ac:dyDescent="0.25">
      <c r="A210" s="18" t="s">
        <v>120</v>
      </c>
      <c r="B210" s="196" t="s">
        <v>121</v>
      </c>
      <c r="C210" s="175">
        <v>0</v>
      </c>
      <c r="D210" s="60">
        <v>1800</v>
      </c>
      <c r="E210" s="99">
        <v>0</v>
      </c>
      <c r="F210" s="138">
        <v>1687</v>
      </c>
      <c r="G210" s="99"/>
      <c r="H210" s="60">
        <v>570</v>
      </c>
      <c r="I210" s="84">
        <v>570</v>
      </c>
      <c r="J210" s="262">
        <v>0</v>
      </c>
      <c r="K210" s="261">
        <v>570</v>
      </c>
      <c r="L210" s="261">
        <v>570</v>
      </c>
      <c r="M210" s="350">
        <v>0</v>
      </c>
      <c r="N210" s="269">
        <v>570</v>
      </c>
      <c r="O210" s="262">
        <v>0</v>
      </c>
    </row>
    <row r="211" spans="1:59" x14ac:dyDescent="0.25">
      <c r="A211" s="18">
        <v>4223</v>
      </c>
      <c r="B211" s="196" t="s">
        <v>122</v>
      </c>
      <c r="C211" s="175">
        <v>0</v>
      </c>
      <c r="D211" s="60">
        <v>1800</v>
      </c>
      <c r="E211" s="99">
        <v>0</v>
      </c>
      <c r="F211" s="138">
        <v>1500</v>
      </c>
      <c r="G211" s="99">
        <v>1530</v>
      </c>
      <c r="H211" s="60">
        <v>570</v>
      </c>
      <c r="I211" s="84">
        <v>570</v>
      </c>
      <c r="J211" s="262">
        <v>1500</v>
      </c>
      <c r="K211" s="261">
        <v>570</v>
      </c>
      <c r="L211" s="261">
        <v>570</v>
      </c>
      <c r="M211" s="350">
        <v>1500</v>
      </c>
      <c r="N211" s="269">
        <v>570</v>
      </c>
      <c r="O211" s="262">
        <v>1500</v>
      </c>
    </row>
    <row r="212" spans="1:59" s="74" customFormat="1" x14ac:dyDescent="0.25">
      <c r="A212" s="18" t="s">
        <v>147</v>
      </c>
      <c r="B212" s="196" t="s">
        <v>141</v>
      </c>
      <c r="C212" s="175">
        <v>36655.5</v>
      </c>
      <c r="D212" s="60">
        <v>37500</v>
      </c>
      <c r="E212" s="99">
        <v>21549.94</v>
      </c>
      <c r="F212" s="138">
        <v>105000</v>
      </c>
      <c r="G212" s="99">
        <v>0</v>
      </c>
      <c r="H212" s="60">
        <v>9375</v>
      </c>
      <c r="I212" s="84">
        <v>258750</v>
      </c>
      <c r="J212" s="262">
        <v>0</v>
      </c>
      <c r="K212" s="261">
        <v>9375</v>
      </c>
      <c r="L212" s="261">
        <v>202500</v>
      </c>
      <c r="M212" s="350">
        <v>0</v>
      </c>
      <c r="N212" s="269">
        <v>202500</v>
      </c>
      <c r="O212" s="262">
        <v>0</v>
      </c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</row>
    <row r="213" spans="1:59" x14ac:dyDescent="0.25">
      <c r="A213" s="16" t="s">
        <v>107</v>
      </c>
      <c r="B213" s="198" t="s">
        <v>108</v>
      </c>
      <c r="C213" s="143">
        <f>SUM(C214)</f>
        <v>207714.5</v>
      </c>
      <c r="D213" s="40">
        <f t="shared" ref="D213:O213" si="115">SUM(D214)</f>
        <v>480000</v>
      </c>
      <c r="E213" s="98">
        <f t="shared" si="115"/>
        <v>0</v>
      </c>
      <c r="F213" s="27">
        <f t="shared" si="115"/>
        <v>0</v>
      </c>
      <c r="G213" s="83">
        <f t="shared" si="115"/>
        <v>0</v>
      </c>
      <c r="H213" s="40">
        <f>SUM(H214)</f>
        <v>0</v>
      </c>
      <c r="I213" s="83">
        <f>SUM(I214)</f>
        <v>0</v>
      </c>
      <c r="J213" s="257">
        <f>SUM(J214)</f>
        <v>0</v>
      </c>
      <c r="K213" s="349">
        <f t="shared" si="115"/>
        <v>0</v>
      </c>
      <c r="L213" s="349">
        <f t="shared" si="115"/>
        <v>0</v>
      </c>
      <c r="M213" s="257">
        <f>SUM(M214)</f>
        <v>0</v>
      </c>
      <c r="N213" s="256">
        <f t="shared" si="115"/>
        <v>480000</v>
      </c>
      <c r="O213" s="257">
        <f t="shared" si="115"/>
        <v>255000</v>
      </c>
      <c r="R213" s="203"/>
    </row>
    <row r="214" spans="1:59" ht="15.75" thickBot="1" x14ac:dyDescent="0.3">
      <c r="A214" s="18" t="s">
        <v>146</v>
      </c>
      <c r="B214" s="197" t="s">
        <v>109</v>
      </c>
      <c r="C214" s="179">
        <v>207714.5</v>
      </c>
      <c r="D214" s="61">
        <v>480000</v>
      </c>
      <c r="E214" s="95">
        <v>0</v>
      </c>
      <c r="F214" s="152">
        <v>0</v>
      </c>
      <c r="G214" s="95">
        <v>0</v>
      </c>
      <c r="H214" s="61">
        <v>0</v>
      </c>
      <c r="I214" s="82">
        <v>0</v>
      </c>
      <c r="J214" s="299">
        <v>0</v>
      </c>
      <c r="K214" s="354">
        <v>0</v>
      </c>
      <c r="L214" s="354">
        <v>0</v>
      </c>
      <c r="M214" s="355">
        <v>0</v>
      </c>
      <c r="N214" s="300">
        <v>480000</v>
      </c>
      <c r="O214" s="299">
        <v>255000</v>
      </c>
      <c r="R214" s="203"/>
    </row>
    <row r="215" spans="1:59" ht="15.75" thickBot="1" x14ac:dyDescent="0.3">
      <c r="A215" s="45" t="s">
        <v>149</v>
      </c>
      <c r="B215" s="199" t="s">
        <v>144</v>
      </c>
      <c r="C215" s="141">
        <f>C217+C222+C226+C257+C263+C277+C280+C287+C220</f>
        <v>25698377.819999997</v>
      </c>
      <c r="D215" s="105">
        <f>D217+D220+D222+D226+D230+D233+D242+D246+D251</f>
        <v>74101860</v>
      </c>
      <c r="E215" s="141">
        <f>E217+E220+E222+E226+E230+E233+E242+E246+E251</f>
        <v>12443941.239999998</v>
      </c>
      <c r="F215" s="210">
        <f t="shared" ref="F215:G215" si="116">F216+F225+F245</f>
        <v>78663567</v>
      </c>
      <c r="G215" s="205">
        <f t="shared" si="116"/>
        <v>37939864.899999999</v>
      </c>
      <c r="H215" s="105">
        <f>H216+H225+H245</f>
        <v>61845035</v>
      </c>
      <c r="I215" s="102">
        <f>I217+I220+I222+I226+I230+I233+I242+I246+I251</f>
        <v>82807035</v>
      </c>
      <c r="J215" s="356">
        <f>J216+J225+J245</f>
        <v>56301343.75</v>
      </c>
      <c r="K215" s="357">
        <f t="shared" ref="K215:L215" si="117">K217+K220+K222+K226+K230+K233+K242+K246+K251</f>
        <v>58035585</v>
      </c>
      <c r="L215" s="357">
        <f t="shared" si="117"/>
        <v>77570235</v>
      </c>
      <c r="M215" s="356">
        <f>M216+M225+M245</f>
        <v>56301343.75</v>
      </c>
      <c r="N215" s="358">
        <f t="shared" ref="N215" si="118">N217+N220+N222+N226+N230+N233+N242+N246+N251</f>
        <v>75867985</v>
      </c>
      <c r="O215" s="356">
        <f>O216+O225+O245</f>
        <v>57788843.75</v>
      </c>
      <c r="R215" s="203"/>
    </row>
    <row r="216" spans="1:59" x14ac:dyDescent="0.25">
      <c r="A216" s="52" t="s">
        <v>7</v>
      </c>
      <c r="B216" s="189" t="s">
        <v>165</v>
      </c>
      <c r="C216" s="142"/>
      <c r="D216" s="106"/>
      <c r="E216" s="142"/>
      <c r="F216" s="211">
        <f t="shared" ref="F216:G216" si="119">F217+F220+F222</f>
        <v>36915469</v>
      </c>
      <c r="G216" s="206">
        <f t="shared" si="119"/>
        <v>24494653.679999996</v>
      </c>
      <c r="H216" s="106">
        <f>H217+H220+H222</f>
        <v>30472200</v>
      </c>
      <c r="I216" s="103">
        <f>I217+I220+I222</f>
        <v>33756475</v>
      </c>
      <c r="J216" s="359">
        <f>J217+J220+J222</f>
        <v>41481593.75</v>
      </c>
      <c r="K216" s="360">
        <f t="shared" ref="K216:L216" si="120">K217+K220+K222</f>
        <v>30032200</v>
      </c>
      <c r="L216" s="361">
        <f t="shared" si="120"/>
        <v>33756475</v>
      </c>
      <c r="M216" s="362">
        <f>M217+M220+M222</f>
        <v>41481593.75</v>
      </c>
      <c r="N216" s="363">
        <f t="shared" ref="N216" si="121">N217+N220+N222</f>
        <v>33756475</v>
      </c>
      <c r="O216" s="359">
        <f>O217+O220+O222</f>
        <v>41481593.75</v>
      </c>
    </row>
    <row r="217" spans="1:59" x14ac:dyDescent="0.25">
      <c r="A217" s="44" t="s">
        <v>19</v>
      </c>
      <c r="B217" s="198" t="s">
        <v>20</v>
      </c>
      <c r="C217" s="143">
        <f>SUM(C218:C219)</f>
        <v>19445858.819999997</v>
      </c>
      <c r="D217" s="107">
        <f>SUM(D218:D219)</f>
        <v>25840000</v>
      </c>
      <c r="E217" s="143">
        <f t="shared" ref="E217:O217" si="122">SUM(E218:E219)</f>
        <v>7866539.54</v>
      </c>
      <c r="F217" s="212">
        <f t="shared" si="122"/>
        <v>31343750</v>
      </c>
      <c r="G217" s="207">
        <f t="shared" si="122"/>
        <v>21042059.279999997</v>
      </c>
      <c r="H217" s="107">
        <f t="shared" si="122"/>
        <v>25840000</v>
      </c>
      <c r="I217" s="104">
        <f t="shared" si="122"/>
        <v>28815000</v>
      </c>
      <c r="J217" s="364">
        <f t="shared" si="122"/>
        <v>35168750</v>
      </c>
      <c r="K217" s="365">
        <f t="shared" si="122"/>
        <v>25840000</v>
      </c>
      <c r="L217" s="366">
        <f t="shared" si="122"/>
        <v>28815000</v>
      </c>
      <c r="M217" s="367">
        <f t="shared" si="122"/>
        <v>35168750</v>
      </c>
      <c r="N217" s="368">
        <f t="shared" si="122"/>
        <v>28815000</v>
      </c>
      <c r="O217" s="364">
        <f t="shared" si="122"/>
        <v>35168750</v>
      </c>
    </row>
    <row r="218" spans="1:59" x14ac:dyDescent="0.25">
      <c r="A218" s="17" t="s">
        <v>21</v>
      </c>
      <c r="B218" s="196" t="s">
        <v>22</v>
      </c>
      <c r="C218" s="175">
        <v>19057303.079999998</v>
      </c>
      <c r="D218" s="60">
        <v>25500000</v>
      </c>
      <c r="E218" s="99">
        <v>7710052.0800000001</v>
      </c>
      <c r="F218" s="138">
        <v>31025000</v>
      </c>
      <c r="G218" s="99">
        <v>21040675.629999999</v>
      </c>
      <c r="H218" s="60">
        <v>25500000</v>
      </c>
      <c r="I218" s="36">
        <v>28475000</v>
      </c>
      <c r="J218" s="262">
        <v>34850000</v>
      </c>
      <c r="K218" s="369">
        <v>25500000</v>
      </c>
      <c r="L218" s="331">
        <v>28475000</v>
      </c>
      <c r="M218" s="370">
        <v>34850000</v>
      </c>
      <c r="N218" s="269">
        <v>28475000</v>
      </c>
      <c r="O218" s="262">
        <v>34850000</v>
      </c>
    </row>
    <row r="219" spans="1:59" x14ac:dyDescent="0.25">
      <c r="A219" s="17" t="s">
        <v>23</v>
      </c>
      <c r="B219" s="196" t="s">
        <v>24</v>
      </c>
      <c r="C219" s="175">
        <v>388555.74</v>
      </c>
      <c r="D219" s="60">
        <v>340000</v>
      </c>
      <c r="E219" s="99">
        <v>156487.46</v>
      </c>
      <c r="F219" s="138">
        <v>318750</v>
      </c>
      <c r="G219" s="99">
        <v>1383.65</v>
      </c>
      <c r="H219" s="60">
        <v>340000</v>
      </c>
      <c r="I219" s="36">
        <v>340000</v>
      </c>
      <c r="J219" s="262">
        <v>318750</v>
      </c>
      <c r="K219" s="369">
        <v>340000</v>
      </c>
      <c r="L219" s="331">
        <v>340000</v>
      </c>
      <c r="M219" s="370">
        <v>318750</v>
      </c>
      <c r="N219" s="269">
        <v>340000</v>
      </c>
      <c r="O219" s="262">
        <v>318750</v>
      </c>
    </row>
    <row r="220" spans="1:59" x14ac:dyDescent="0.25">
      <c r="A220" s="16" t="s">
        <v>25</v>
      </c>
      <c r="B220" s="196" t="s">
        <v>26</v>
      </c>
      <c r="C220" s="98">
        <f>SUM(C221)</f>
        <v>420000</v>
      </c>
      <c r="D220" s="40">
        <f t="shared" ref="D220:O220" si="123">SUM(D221)</f>
        <v>187000</v>
      </c>
      <c r="E220" s="98">
        <f t="shared" si="123"/>
        <v>2125</v>
      </c>
      <c r="F220" s="27">
        <f t="shared" si="123"/>
        <v>400000</v>
      </c>
      <c r="G220" s="83">
        <f t="shared" si="123"/>
        <v>262650</v>
      </c>
      <c r="H220" s="40">
        <f>SUM(H221)</f>
        <v>187000</v>
      </c>
      <c r="I220" s="35">
        <f t="shared" si="123"/>
        <v>187000</v>
      </c>
      <c r="J220" s="257">
        <f>SUM(J221)</f>
        <v>510000</v>
      </c>
      <c r="K220" s="371">
        <f t="shared" si="123"/>
        <v>187000</v>
      </c>
      <c r="L220" s="328">
        <f t="shared" si="123"/>
        <v>187000</v>
      </c>
      <c r="M220" s="372">
        <f>SUM(M221)</f>
        <v>510000</v>
      </c>
      <c r="N220" s="256">
        <f t="shared" si="123"/>
        <v>187000</v>
      </c>
      <c r="O220" s="257">
        <f t="shared" si="123"/>
        <v>510000</v>
      </c>
    </row>
    <row r="221" spans="1:59" x14ac:dyDescent="0.25">
      <c r="A221" s="17" t="s">
        <v>27</v>
      </c>
      <c r="B221" s="196" t="s">
        <v>26</v>
      </c>
      <c r="C221" s="175">
        <f>195000+225000</f>
        <v>420000</v>
      </c>
      <c r="D221" s="60">
        <v>187000</v>
      </c>
      <c r="E221" s="99">
        <v>2125</v>
      </c>
      <c r="F221" s="138">
        <v>400000</v>
      </c>
      <c r="G221" s="99">
        <v>262650</v>
      </c>
      <c r="H221" s="60">
        <v>187000</v>
      </c>
      <c r="I221" s="36">
        <v>187000</v>
      </c>
      <c r="J221" s="262">
        <v>510000</v>
      </c>
      <c r="K221" s="369">
        <v>187000</v>
      </c>
      <c r="L221" s="331">
        <v>187000</v>
      </c>
      <c r="M221" s="370">
        <v>510000</v>
      </c>
      <c r="N221" s="269">
        <v>187000</v>
      </c>
      <c r="O221" s="262">
        <v>510000</v>
      </c>
    </row>
    <row r="222" spans="1:59" x14ac:dyDescent="0.25">
      <c r="A222" s="16" t="s">
        <v>28</v>
      </c>
      <c r="B222" s="196" t="s">
        <v>29</v>
      </c>
      <c r="C222" s="98">
        <f t="shared" ref="C222" si="124">SUM(C223:C224)</f>
        <v>2768999.24</v>
      </c>
      <c r="D222" s="40">
        <f>SUM(D223:D224)</f>
        <v>4445200</v>
      </c>
      <c r="E222" s="98">
        <f>SUM(E223:E224)</f>
        <v>1115232.48</v>
      </c>
      <c r="F222" s="27">
        <f t="shared" ref="F222:G222" si="125">SUM(F223:F224)</f>
        <v>5171719</v>
      </c>
      <c r="G222" s="83">
        <f t="shared" si="125"/>
        <v>3189944.4</v>
      </c>
      <c r="H222" s="40">
        <f>SUM(H223:H224)</f>
        <v>4445200</v>
      </c>
      <c r="I222" s="35">
        <f>SUM(I223:I224)</f>
        <v>4754475</v>
      </c>
      <c r="J222" s="257">
        <f>SUM(J223)</f>
        <v>5802843.75</v>
      </c>
      <c r="K222" s="371">
        <f>SUM(K223:K224)</f>
        <v>4005200</v>
      </c>
      <c r="L222" s="328">
        <f>SUM(L223:L224)</f>
        <v>4754475</v>
      </c>
      <c r="M222" s="372">
        <f>SUM(M223:M224)</f>
        <v>5802843.75</v>
      </c>
      <c r="N222" s="256">
        <f>SUM(N223:N224)</f>
        <v>4754475</v>
      </c>
      <c r="O222" s="257">
        <f>SUM(O223:O224)</f>
        <v>5802843.75</v>
      </c>
    </row>
    <row r="223" spans="1:59" x14ac:dyDescent="0.25">
      <c r="A223" s="17" t="s">
        <v>30</v>
      </c>
      <c r="B223" s="196" t="s">
        <v>31</v>
      </c>
      <c r="C223" s="175">
        <v>2495252.52</v>
      </c>
      <c r="D223" s="60">
        <v>4005200</v>
      </c>
      <c r="E223" s="99">
        <v>1089223.3500000001</v>
      </c>
      <c r="F223" s="138">
        <v>5171719</v>
      </c>
      <c r="G223" s="99">
        <v>3189944.4</v>
      </c>
      <c r="H223" s="60">
        <v>4005200</v>
      </c>
      <c r="I223" s="36">
        <f>I217*16.5/100</f>
        <v>4754475</v>
      </c>
      <c r="J223" s="262">
        <f>J217*16.5/100</f>
        <v>5802843.75</v>
      </c>
      <c r="K223" s="369">
        <v>4005200</v>
      </c>
      <c r="L223" s="331">
        <f>L217*16.5/100</f>
        <v>4754475</v>
      </c>
      <c r="M223" s="370">
        <f>M217*16.5/100</f>
        <v>5802843.75</v>
      </c>
      <c r="N223" s="269">
        <f>N217*16.5/100</f>
        <v>4754475</v>
      </c>
      <c r="O223" s="262">
        <f>O217*16.5/100</f>
        <v>5802843.75</v>
      </c>
      <c r="R223" s="203"/>
    </row>
    <row r="224" spans="1:59" x14ac:dyDescent="0.25">
      <c r="A224" s="17" t="s">
        <v>32</v>
      </c>
      <c r="B224" s="196" t="s">
        <v>140</v>
      </c>
      <c r="C224" s="175">
        <v>273746.71999999997</v>
      </c>
      <c r="D224" s="60">
        <v>440000</v>
      </c>
      <c r="E224" s="99">
        <v>26009.13</v>
      </c>
      <c r="F224" s="138">
        <v>0</v>
      </c>
      <c r="G224" s="99">
        <v>0</v>
      </c>
      <c r="H224" s="60">
        <v>440000</v>
      </c>
      <c r="I224" s="36">
        <v>0</v>
      </c>
      <c r="J224" s="262">
        <v>0</v>
      </c>
      <c r="K224" s="369">
        <v>0</v>
      </c>
      <c r="L224" s="331">
        <v>0</v>
      </c>
      <c r="M224" s="370"/>
      <c r="N224" s="261">
        <v>0</v>
      </c>
      <c r="O224" s="262">
        <v>0</v>
      </c>
    </row>
    <row r="225" spans="1:18" x14ac:dyDescent="0.25">
      <c r="A225" s="52" t="s">
        <v>155</v>
      </c>
      <c r="B225" s="189" t="s">
        <v>164</v>
      </c>
      <c r="C225" s="130"/>
      <c r="D225" s="67"/>
      <c r="E225" s="100"/>
      <c r="F225" s="54">
        <f t="shared" ref="F225:G225" si="126">F226+F230+F233+F242</f>
        <v>31439035</v>
      </c>
      <c r="G225" s="148">
        <f t="shared" si="126"/>
        <v>13436541.259999998</v>
      </c>
      <c r="H225" s="67">
        <f>H226+H230+H233+H242</f>
        <v>29707750</v>
      </c>
      <c r="I225" s="79">
        <f>I226+I230+I233+I242</f>
        <v>43060550</v>
      </c>
      <c r="J225" s="270">
        <f>J226+J230+J233+J242</f>
        <v>14641250</v>
      </c>
      <c r="K225" s="271">
        <f t="shared" ref="K225:L225" si="127">K226+K230+K233+K242</f>
        <v>26976500</v>
      </c>
      <c r="L225" s="334">
        <f t="shared" si="127"/>
        <v>42432500</v>
      </c>
      <c r="M225" s="373">
        <f>M226+M230+M233+M242</f>
        <v>14641250</v>
      </c>
      <c r="N225" s="265">
        <f t="shared" ref="N225" si="128">N226+N230+N233+N242</f>
        <v>38010250</v>
      </c>
      <c r="O225" s="270">
        <f>O226+O230+O233+O242</f>
        <v>14683750</v>
      </c>
      <c r="R225" s="203"/>
    </row>
    <row r="226" spans="1:18" x14ac:dyDescent="0.25">
      <c r="A226" s="16" t="s">
        <v>33</v>
      </c>
      <c r="B226" s="196" t="s">
        <v>34</v>
      </c>
      <c r="C226" s="98">
        <f t="shared" ref="C226" si="129">SUM(C253:C255)</f>
        <v>1988348.31</v>
      </c>
      <c r="D226" s="40">
        <f>SUM(D227:D229)</f>
        <v>1606500</v>
      </c>
      <c r="E226" s="98">
        <f>SUM(E227:E229)</f>
        <v>552330.96</v>
      </c>
      <c r="F226" s="27">
        <f t="shared" ref="F226:O226" si="130">SUM(F227:F229)</f>
        <v>1436500</v>
      </c>
      <c r="G226" s="83">
        <f t="shared" si="130"/>
        <v>480555.25</v>
      </c>
      <c r="H226" s="40">
        <f t="shared" si="130"/>
        <v>1606500</v>
      </c>
      <c r="I226" s="35">
        <f t="shared" si="130"/>
        <v>2714000</v>
      </c>
      <c r="J226" s="256">
        <f t="shared" si="130"/>
        <v>2380000</v>
      </c>
      <c r="K226" s="371">
        <f t="shared" si="130"/>
        <v>1606500</v>
      </c>
      <c r="L226" s="328">
        <f t="shared" si="130"/>
        <v>2591000</v>
      </c>
      <c r="M226" s="372">
        <f t="shared" si="130"/>
        <v>2380000</v>
      </c>
      <c r="N226" s="256">
        <f t="shared" si="130"/>
        <v>2599000</v>
      </c>
      <c r="O226" s="257">
        <f t="shared" si="130"/>
        <v>2380000</v>
      </c>
    </row>
    <row r="227" spans="1:18" x14ac:dyDescent="0.25">
      <c r="A227" s="17" t="s">
        <v>35</v>
      </c>
      <c r="B227" s="196" t="s">
        <v>36</v>
      </c>
      <c r="C227" s="175">
        <v>473145.16</v>
      </c>
      <c r="D227" s="60">
        <v>595000</v>
      </c>
      <c r="E227" s="99">
        <v>82601.78</v>
      </c>
      <c r="F227" s="138">
        <v>212500</v>
      </c>
      <c r="G227" s="99">
        <v>425</v>
      </c>
      <c r="H227" s="60">
        <v>595000</v>
      </c>
      <c r="I227" s="36">
        <v>850000</v>
      </c>
      <c r="J227" s="262">
        <v>765000</v>
      </c>
      <c r="K227" s="369">
        <v>595000</v>
      </c>
      <c r="L227" s="331">
        <v>850000</v>
      </c>
      <c r="M227" s="370">
        <v>765000</v>
      </c>
      <c r="N227" s="269">
        <v>850000</v>
      </c>
      <c r="O227" s="262">
        <v>765000</v>
      </c>
    </row>
    <row r="228" spans="1:18" x14ac:dyDescent="0.25">
      <c r="A228" s="17" t="s">
        <v>37</v>
      </c>
      <c r="B228" s="196" t="s">
        <v>38</v>
      </c>
      <c r="C228" s="175">
        <v>395630.01</v>
      </c>
      <c r="D228" s="60">
        <v>714000</v>
      </c>
      <c r="E228" s="99">
        <v>330896.78999999998</v>
      </c>
      <c r="F228" s="138">
        <v>884000</v>
      </c>
      <c r="G228" s="99">
        <v>412994.22</v>
      </c>
      <c r="H228" s="60">
        <v>714000</v>
      </c>
      <c r="I228" s="36">
        <v>714000</v>
      </c>
      <c r="J228" s="262">
        <v>935000</v>
      </c>
      <c r="K228" s="369">
        <v>714000</v>
      </c>
      <c r="L228" s="331">
        <v>714000</v>
      </c>
      <c r="M228" s="370">
        <v>935000</v>
      </c>
      <c r="N228" s="269">
        <v>714000</v>
      </c>
      <c r="O228" s="262">
        <v>935000</v>
      </c>
    </row>
    <row r="229" spans="1:18" x14ac:dyDescent="0.25">
      <c r="A229" s="17" t="s">
        <v>39</v>
      </c>
      <c r="B229" s="196" t="s">
        <v>40</v>
      </c>
      <c r="C229" s="175">
        <v>221824.74</v>
      </c>
      <c r="D229" s="60">
        <v>297500</v>
      </c>
      <c r="E229" s="99">
        <v>138832.39000000001</v>
      </c>
      <c r="F229" s="138">
        <v>340000</v>
      </c>
      <c r="G229" s="99">
        <v>67136.03</v>
      </c>
      <c r="H229" s="60">
        <v>297500</v>
      </c>
      <c r="I229" s="36">
        <v>1150000</v>
      </c>
      <c r="J229" s="262">
        <v>680000</v>
      </c>
      <c r="K229" s="369">
        <v>297500</v>
      </c>
      <c r="L229" s="331">
        <v>1027000</v>
      </c>
      <c r="M229" s="370">
        <v>680000</v>
      </c>
      <c r="N229" s="269">
        <v>1035000</v>
      </c>
      <c r="O229" s="262">
        <v>680000</v>
      </c>
      <c r="R229" s="203"/>
    </row>
    <row r="230" spans="1:18" x14ac:dyDescent="0.25">
      <c r="A230" s="16" t="s">
        <v>43</v>
      </c>
      <c r="B230" s="196" t="s">
        <v>44</v>
      </c>
      <c r="C230" s="98">
        <f t="shared" ref="C230:L230" si="131">SUM(C231:C232)</f>
        <v>1231505.3</v>
      </c>
      <c r="D230" s="40">
        <f t="shared" si="131"/>
        <v>2337500</v>
      </c>
      <c r="E230" s="98">
        <f t="shared" si="131"/>
        <v>433525.03</v>
      </c>
      <c r="F230" s="27">
        <f t="shared" si="131"/>
        <v>3017500</v>
      </c>
      <c r="G230" s="83">
        <f t="shared" si="131"/>
        <v>602901.63</v>
      </c>
      <c r="H230" s="40">
        <f>SUM(H231:H232)</f>
        <v>1190000</v>
      </c>
      <c r="I230" s="35">
        <f t="shared" si="131"/>
        <v>2337500</v>
      </c>
      <c r="J230" s="257">
        <f>SUM(J231:J232)</f>
        <v>2847500</v>
      </c>
      <c r="K230" s="371">
        <f t="shared" si="131"/>
        <v>1190000</v>
      </c>
      <c r="L230" s="328">
        <f t="shared" si="131"/>
        <v>2337500</v>
      </c>
      <c r="M230" s="372">
        <f>SUM(M231:M232)</f>
        <v>2847500</v>
      </c>
      <c r="N230" s="256">
        <f t="shared" ref="N230:O230" si="132">SUM(N231:N232)</f>
        <v>2337500</v>
      </c>
      <c r="O230" s="257">
        <f t="shared" si="132"/>
        <v>2890000</v>
      </c>
    </row>
    <row r="231" spans="1:18" x14ac:dyDescent="0.25">
      <c r="A231" s="17" t="s">
        <v>45</v>
      </c>
      <c r="B231" s="196" t="s">
        <v>46</v>
      </c>
      <c r="C231" s="175">
        <v>843399.06</v>
      </c>
      <c r="D231" s="60">
        <v>1445000</v>
      </c>
      <c r="E231" s="99">
        <v>289025.03000000003</v>
      </c>
      <c r="F231" s="138">
        <v>1700000</v>
      </c>
      <c r="G231" s="99">
        <v>183603.39</v>
      </c>
      <c r="H231" s="60">
        <v>297500</v>
      </c>
      <c r="I231" s="63">
        <v>1445000</v>
      </c>
      <c r="J231" s="262">
        <v>1402500</v>
      </c>
      <c r="K231" s="329">
        <v>297500</v>
      </c>
      <c r="L231" s="374">
        <v>1445000</v>
      </c>
      <c r="M231" s="370">
        <v>1402500</v>
      </c>
      <c r="N231" s="261">
        <v>1445000</v>
      </c>
      <c r="O231" s="262">
        <v>1445000</v>
      </c>
    </row>
    <row r="232" spans="1:18" x14ac:dyDescent="0.25">
      <c r="A232" s="17" t="s">
        <v>47</v>
      </c>
      <c r="B232" s="196" t="s">
        <v>48</v>
      </c>
      <c r="C232" s="175">
        <v>388106.23999999999</v>
      </c>
      <c r="D232" s="60">
        <v>892500</v>
      </c>
      <c r="E232" s="99">
        <v>144500</v>
      </c>
      <c r="F232" s="138">
        <v>1317500</v>
      </c>
      <c r="G232" s="99">
        <v>419298.24</v>
      </c>
      <c r="H232" s="60">
        <v>892500</v>
      </c>
      <c r="I232" s="63">
        <v>892500</v>
      </c>
      <c r="J232" s="262">
        <v>1445000</v>
      </c>
      <c r="K232" s="329">
        <v>892500</v>
      </c>
      <c r="L232" s="374">
        <v>892500</v>
      </c>
      <c r="M232" s="370">
        <v>1445000</v>
      </c>
      <c r="N232" s="261">
        <v>892500</v>
      </c>
      <c r="O232" s="262">
        <v>1445000</v>
      </c>
    </row>
    <row r="233" spans="1:18" x14ac:dyDescent="0.25">
      <c r="A233" s="16" t="s">
        <v>55</v>
      </c>
      <c r="B233" s="196" t="s">
        <v>56</v>
      </c>
      <c r="C233" s="98">
        <f>SUM(C234:C262)</f>
        <v>33267823.509999998</v>
      </c>
      <c r="D233" s="40">
        <f>SUM(D234:D241)</f>
        <v>34252160</v>
      </c>
      <c r="E233" s="98">
        <f>SUM(E234:E241)</f>
        <v>1264403.7</v>
      </c>
      <c r="F233" s="27">
        <f t="shared" ref="F233:O233" si="133">SUM(F234:F241)</f>
        <v>26857535</v>
      </c>
      <c r="G233" s="83">
        <f t="shared" si="133"/>
        <v>12353084.379999999</v>
      </c>
      <c r="H233" s="40">
        <f t="shared" si="133"/>
        <v>26826250</v>
      </c>
      <c r="I233" s="35">
        <f t="shared" si="133"/>
        <v>37881550</v>
      </c>
      <c r="J233" s="257">
        <f t="shared" si="133"/>
        <v>9286250</v>
      </c>
      <c r="K233" s="371">
        <f t="shared" si="133"/>
        <v>24095000</v>
      </c>
      <c r="L233" s="328">
        <f t="shared" si="133"/>
        <v>37376500</v>
      </c>
      <c r="M233" s="375">
        <f t="shared" si="133"/>
        <v>9286250</v>
      </c>
      <c r="N233" s="256">
        <f t="shared" si="133"/>
        <v>32946250</v>
      </c>
      <c r="O233" s="257">
        <f t="shared" si="133"/>
        <v>9286250</v>
      </c>
    </row>
    <row r="234" spans="1:18" x14ac:dyDescent="0.25">
      <c r="A234" s="17" t="s">
        <v>57</v>
      </c>
      <c r="B234" s="196" t="s">
        <v>58</v>
      </c>
      <c r="C234" s="175">
        <v>600381.51</v>
      </c>
      <c r="D234" s="60">
        <v>595000</v>
      </c>
      <c r="E234" s="99">
        <v>140250</v>
      </c>
      <c r="F234" s="138">
        <v>998750</v>
      </c>
      <c r="G234" s="99">
        <v>0</v>
      </c>
      <c r="H234" s="60">
        <v>595000</v>
      </c>
      <c r="I234" s="63">
        <v>595000</v>
      </c>
      <c r="J234" s="262">
        <v>998750</v>
      </c>
      <c r="K234" s="329">
        <v>595000</v>
      </c>
      <c r="L234" s="374">
        <v>595000</v>
      </c>
      <c r="M234" s="370">
        <v>998750</v>
      </c>
      <c r="N234" s="261">
        <v>595000</v>
      </c>
      <c r="O234" s="262">
        <v>998750</v>
      </c>
    </row>
    <row r="235" spans="1:18" x14ac:dyDescent="0.25">
      <c r="A235" s="17" t="s">
        <v>59</v>
      </c>
      <c r="B235" s="196" t="s">
        <v>60</v>
      </c>
      <c r="C235" s="175">
        <v>2494350.0099999998</v>
      </c>
      <c r="D235" s="60">
        <v>4368700</v>
      </c>
      <c r="E235" s="99">
        <v>42500</v>
      </c>
      <c r="F235" s="138">
        <v>2550000</v>
      </c>
      <c r="G235" s="99">
        <v>1181084.06</v>
      </c>
      <c r="H235" s="60">
        <v>2108250</v>
      </c>
      <c r="I235" s="36">
        <f>3935000</f>
        <v>3935000</v>
      </c>
      <c r="J235" s="262">
        <v>595000</v>
      </c>
      <c r="K235" s="369">
        <v>1577000</v>
      </c>
      <c r="L235" s="331">
        <f>4253000</f>
        <v>4253000</v>
      </c>
      <c r="M235" s="370">
        <v>595000</v>
      </c>
      <c r="N235" s="269">
        <f>4302000</f>
        <v>4302000</v>
      </c>
      <c r="O235" s="262">
        <v>595000</v>
      </c>
    </row>
    <row r="236" spans="1:18" x14ac:dyDescent="0.25">
      <c r="A236" s="17" t="s">
        <v>61</v>
      </c>
      <c r="B236" s="196" t="s">
        <v>62</v>
      </c>
      <c r="C236" s="175">
        <v>368204.13</v>
      </c>
      <c r="D236" s="60">
        <v>425000</v>
      </c>
      <c r="E236" s="99">
        <v>53778.45</v>
      </c>
      <c r="F236" s="138">
        <v>170000</v>
      </c>
      <c r="G236" s="99">
        <v>42287.51</v>
      </c>
      <c r="H236" s="60">
        <v>425000</v>
      </c>
      <c r="I236" s="36">
        <v>425000</v>
      </c>
      <c r="J236" s="262">
        <v>297500</v>
      </c>
      <c r="K236" s="369">
        <v>425000</v>
      </c>
      <c r="L236" s="331">
        <v>425000</v>
      </c>
      <c r="M236" s="370">
        <v>297500</v>
      </c>
      <c r="N236" s="269">
        <v>425000</v>
      </c>
      <c r="O236" s="262">
        <v>297500</v>
      </c>
    </row>
    <row r="237" spans="1:18" x14ac:dyDescent="0.25">
      <c r="A237" s="17" t="s">
        <v>63</v>
      </c>
      <c r="B237" s="196" t="s">
        <v>64</v>
      </c>
      <c r="C237" s="175">
        <v>400000</v>
      </c>
      <c r="D237" s="60">
        <v>127500</v>
      </c>
      <c r="E237" s="99">
        <v>0</v>
      </c>
      <c r="F237" s="138">
        <v>765000</v>
      </c>
      <c r="G237" s="99">
        <v>255000</v>
      </c>
      <c r="H237" s="60">
        <v>127500</v>
      </c>
      <c r="I237" s="63">
        <v>127500</v>
      </c>
      <c r="J237" s="262">
        <v>765000</v>
      </c>
      <c r="K237" s="329">
        <v>127500</v>
      </c>
      <c r="L237" s="374">
        <v>127500</v>
      </c>
      <c r="M237" s="370">
        <v>765000</v>
      </c>
      <c r="N237" s="261">
        <v>127500</v>
      </c>
      <c r="O237" s="262">
        <v>765000</v>
      </c>
    </row>
    <row r="238" spans="1:18" x14ac:dyDescent="0.25">
      <c r="A238" s="17" t="s">
        <v>65</v>
      </c>
      <c r="B238" s="196" t="s">
        <v>66</v>
      </c>
      <c r="C238" s="175">
        <v>2049086.52</v>
      </c>
      <c r="D238" s="60">
        <v>2720000</v>
      </c>
      <c r="E238" s="99">
        <v>481433.93</v>
      </c>
      <c r="F238" s="138">
        <v>4462500</v>
      </c>
      <c r="G238" s="99">
        <v>2706545.14</v>
      </c>
      <c r="H238" s="60">
        <v>2720000</v>
      </c>
      <c r="I238" s="63">
        <v>2800000</v>
      </c>
      <c r="J238" s="262">
        <v>2975000</v>
      </c>
      <c r="K238" s="329">
        <v>2720000</v>
      </c>
      <c r="L238" s="374">
        <v>2800000</v>
      </c>
      <c r="M238" s="370">
        <v>2975000</v>
      </c>
      <c r="N238" s="261">
        <v>2800000</v>
      </c>
      <c r="O238" s="262">
        <v>2975000</v>
      </c>
    </row>
    <row r="239" spans="1:18" x14ac:dyDescent="0.25">
      <c r="A239" s="17" t="s">
        <v>69</v>
      </c>
      <c r="B239" s="196" t="s">
        <v>70</v>
      </c>
      <c r="C239" s="175">
        <v>1210507.45</v>
      </c>
      <c r="D239" s="60">
        <v>1853000</v>
      </c>
      <c r="E239" s="99">
        <v>452941.32</v>
      </c>
      <c r="F239" s="138">
        <v>2762500</v>
      </c>
      <c r="G239" s="99">
        <v>584818.92000000004</v>
      </c>
      <c r="H239" s="60">
        <v>1853000</v>
      </c>
      <c r="I239" s="36">
        <v>1853000</v>
      </c>
      <c r="J239" s="262">
        <v>2550000</v>
      </c>
      <c r="K239" s="369">
        <v>1853000</v>
      </c>
      <c r="L239" s="331">
        <v>1853000</v>
      </c>
      <c r="M239" s="370">
        <v>2550000</v>
      </c>
      <c r="N239" s="269">
        <v>1853000</v>
      </c>
      <c r="O239" s="262">
        <v>2550000</v>
      </c>
    </row>
    <row r="240" spans="1:18" x14ac:dyDescent="0.25">
      <c r="A240" s="17" t="s">
        <v>114</v>
      </c>
      <c r="B240" s="196" t="s">
        <v>115</v>
      </c>
      <c r="C240" s="175">
        <v>7172482.8300000001</v>
      </c>
      <c r="D240" s="60">
        <v>23865460</v>
      </c>
      <c r="E240" s="99">
        <v>0</v>
      </c>
      <c r="F240" s="138">
        <v>14043785</v>
      </c>
      <c r="G240" s="99">
        <v>6988348.75</v>
      </c>
      <c r="H240" s="60">
        <v>18700000</v>
      </c>
      <c r="I240" s="36">
        <v>27466050</v>
      </c>
      <c r="J240" s="262">
        <v>0</v>
      </c>
      <c r="K240" s="369">
        <v>16500000</v>
      </c>
      <c r="L240" s="331">
        <v>26643000</v>
      </c>
      <c r="M240" s="370">
        <v>0</v>
      </c>
      <c r="N240" s="269">
        <v>22163750</v>
      </c>
      <c r="O240" s="262">
        <v>0</v>
      </c>
    </row>
    <row r="241" spans="1:59" x14ac:dyDescent="0.25">
      <c r="A241" s="17" t="s">
        <v>71</v>
      </c>
      <c r="B241" s="196" t="s">
        <v>72</v>
      </c>
      <c r="C241" s="175">
        <v>337669.96</v>
      </c>
      <c r="D241" s="60">
        <v>297500</v>
      </c>
      <c r="E241" s="99">
        <v>93500</v>
      </c>
      <c r="F241" s="138">
        <v>1105000</v>
      </c>
      <c r="G241" s="99">
        <v>595000</v>
      </c>
      <c r="H241" s="60">
        <v>297500</v>
      </c>
      <c r="I241" s="63">
        <v>680000</v>
      </c>
      <c r="J241" s="262">
        <v>1105000</v>
      </c>
      <c r="K241" s="329">
        <v>297500</v>
      </c>
      <c r="L241" s="374">
        <v>680000</v>
      </c>
      <c r="M241" s="370">
        <v>1105000</v>
      </c>
      <c r="N241" s="261">
        <v>680000</v>
      </c>
      <c r="O241" s="262">
        <v>1105000</v>
      </c>
      <c r="R241" s="203"/>
    </row>
    <row r="242" spans="1:59" x14ac:dyDescent="0.25">
      <c r="A242" s="16" t="s">
        <v>76</v>
      </c>
      <c r="B242" s="196" t="s">
        <v>77</v>
      </c>
      <c r="C242" s="98">
        <f>SUM(C244)</f>
        <v>7589.94</v>
      </c>
      <c r="D242" s="40">
        <f>SUM(D243:D244)</f>
        <v>85000</v>
      </c>
      <c r="E242" s="98">
        <f>SUM(E243:E244)</f>
        <v>1941.99</v>
      </c>
      <c r="F242" s="27">
        <f t="shared" ref="F242:O242" si="134">SUM(F243:F244)</f>
        <v>127500</v>
      </c>
      <c r="G242" s="83">
        <f t="shared" si="134"/>
        <v>0</v>
      </c>
      <c r="H242" s="40">
        <f t="shared" si="134"/>
        <v>85000</v>
      </c>
      <c r="I242" s="35">
        <f t="shared" si="134"/>
        <v>127500</v>
      </c>
      <c r="J242" s="256">
        <f t="shared" si="134"/>
        <v>127500</v>
      </c>
      <c r="K242" s="371">
        <f t="shared" si="134"/>
        <v>85000</v>
      </c>
      <c r="L242" s="328">
        <f t="shared" si="134"/>
        <v>127500</v>
      </c>
      <c r="M242" s="372">
        <f t="shared" si="134"/>
        <v>127500</v>
      </c>
      <c r="N242" s="256">
        <f t="shared" si="134"/>
        <v>127500</v>
      </c>
      <c r="O242" s="257">
        <f t="shared" si="134"/>
        <v>127500</v>
      </c>
    </row>
    <row r="243" spans="1:59" x14ac:dyDescent="0.25">
      <c r="A243" s="18" t="s">
        <v>80</v>
      </c>
      <c r="B243" s="197" t="s">
        <v>81</v>
      </c>
      <c r="C243" s="178"/>
      <c r="D243" s="69"/>
      <c r="E243" s="101"/>
      <c r="F243" s="151">
        <v>42500</v>
      </c>
      <c r="G243" s="101">
        <v>0</v>
      </c>
      <c r="H243" s="69"/>
      <c r="I243" s="108">
        <v>42500</v>
      </c>
      <c r="J243" s="322">
        <v>42500</v>
      </c>
      <c r="K243" s="323"/>
      <c r="L243" s="325">
        <v>42500</v>
      </c>
      <c r="M243" s="376">
        <v>42500</v>
      </c>
      <c r="N243" s="353">
        <v>42500</v>
      </c>
      <c r="O243" s="322">
        <v>42500</v>
      </c>
    </row>
    <row r="244" spans="1:59" x14ac:dyDescent="0.25">
      <c r="A244" s="18" t="s">
        <v>82</v>
      </c>
      <c r="B244" s="197" t="s">
        <v>83</v>
      </c>
      <c r="C244" s="179">
        <v>7589.94</v>
      </c>
      <c r="D244" s="60">
        <v>85000</v>
      </c>
      <c r="E244" s="99">
        <v>1941.99</v>
      </c>
      <c r="F244" s="138">
        <v>85000</v>
      </c>
      <c r="G244" s="99">
        <v>0</v>
      </c>
      <c r="H244" s="60">
        <v>85000</v>
      </c>
      <c r="I244" s="36">
        <v>85000</v>
      </c>
      <c r="J244" s="262">
        <v>85000</v>
      </c>
      <c r="K244" s="369">
        <v>85000</v>
      </c>
      <c r="L244" s="331">
        <v>85000</v>
      </c>
      <c r="M244" s="370">
        <v>85000</v>
      </c>
      <c r="N244" s="269">
        <v>85000</v>
      </c>
      <c r="O244" s="262">
        <v>85000</v>
      </c>
    </row>
    <row r="245" spans="1:59" x14ac:dyDescent="0.25">
      <c r="A245" s="52" t="s">
        <v>157</v>
      </c>
      <c r="B245" s="189" t="s">
        <v>167</v>
      </c>
      <c r="C245" s="180"/>
      <c r="D245" s="67"/>
      <c r="E245" s="100"/>
      <c r="F245" s="54">
        <f t="shared" ref="F245:G245" si="135">F246+F251</f>
        <v>10309063</v>
      </c>
      <c r="G245" s="148">
        <f t="shared" si="135"/>
        <v>8669.9599999999991</v>
      </c>
      <c r="H245" s="67">
        <f>H246+H251</f>
        <v>1665085</v>
      </c>
      <c r="I245" s="79">
        <f>I246+I251</f>
        <v>5990010</v>
      </c>
      <c r="J245" s="270">
        <f>J246+J251</f>
        <v>178500</v>
      </c>
      <c r="K245" s="271">
        <f t="shared" ref="K245:O245" si="136">K246+K251</f>
        <v>1026885</v>
      </c>
      <c r="L245" s="334">
        <f t="shared" si="136"/>
        <v>1381260</v>
      </c>
      <c r="M245" s="373">
        <f>M246+M251</f>
        <v>178500</v>
      </c>
      <c r="N245" s="265">
        <f t="shared" ref="N245" si="137">N246+N251</f>
        <v>4101260</v>
      </c>
      <c r="O245" s="270">
        <f t="shared" si="136"/>
        <v>1623500</v>
      </c>
    </row>
    <row r="246" spans="1:59" x14ac:dyDescent="0.25">
      <c r="A246" s="16" t="s">
        <v>103</v>
      </c>
      <c r="B246" s="196" t="s">
        <v>104</v>
      </c>
      <c r="C246" s="98">
        <f>SUM(C247:C248)</f>
        <v>7132178.4800000004</v>
      </c>
      <c r="D246" s="40">
        <f>SUM(D247:D250)</f>
        <v>2628500</v>
      </c>
      <c r="E246" s="98">
        <f>SUM(E247:E250)</f>
        <v>1207842.54</v>
      </c>
      <c r="F246" s="27">
        <f t="shared" ref="F246:O246" si="138">SUM(F247:F250)</f>
        <v>10309063</v>
      </c>
      <c r="G246" s="83">
        <f t="shared" si="138"/>
        <v>8669.9599999999991</v>
      </c>
      <c r="H246" s="40">
        <f t="shared" si="138"/>
        <v>1665085</v>
      </c>
      <c r="I246" s="35">
        <f t="shared" si="138"/>
        <v>5990010</v>
      </c>
      <c r="J246" s="257">
        <f t="shared" si="138"/>
        <v>178500</v>
      </c>
      <c r="K246" s="371">
        <f t="shared" si="138"/>
        <v>1026885</v>
      </c>
      <c r="L246" s="328">
        <f t="shared" si="138"/>
        <v>1381260</v>
      </c>
      <c r="M246" s="375">
        <f t="shared" si="138"/>
        <v>178500</v>
      </c>
      <c r="N246" s="256">
        <f t="shared" si="138"/>
        <v>1381260</v>
      </c>
      <c r="O246" s="257">
        <f t="shared" si="138"/>
        <v>178500</v>
      </c>
    </row>
    <row r="247" spans="1:59" x14ac:dyDescent="0.25">
      <c r="A247" s="18" t="s">
        <v>105</v>
      </c>
      <c r="B247" s="196" t="s">
        <v>106</v>
      </c>
      <c r="C247" s="175">
        <v>7132178.4800000004</v>
      </c>
      <c r="D247" s="60">
        <v>2404000</v>
      </c>
      <c r="E247" s="99">
        <v>1085726.23</v>
      </c>
      <c r="F247" s="138">
        <v>9696000</v>
      </c>
      <c r="G247" s="99">
        <v>0</v>
      </c>
      <c r="H247" s="60">
        <v>1608200</v>
      </c>
      <c r="I247" s="36">
        <f>4520000</f>
        <v>4520000</v>
      </c>
      <c r="J247" s="262">
        <v>170000</v>
      </c>
      <c r="K247" s="369">
        <v>970000</v>
      </c>
      <c r="L247" s="331">
        <v>230000</v>
      </c>
      <c r="M247" s="370">
        <v>170000</v>
      </c>
      <c r="N247" s="269">
        <f>230000</f>
        <v>230000</v>
      </c>
      <c r="O247" s="262">
        <v>170000</v>
      </c>
    </row>
    <row r="248" spans="1:59" x14ac:dyDescent="0.25">
      <c r="A248" s="18" t="s">
        <v>120</v>
      </c>
      <c r="B248" s="196" t="s">
        <v>121</v>
      </c>
      <c r="C248" s="175">
        <v>0</v>
      </c>
      <c r="D248" s="60">
        <v>10200</v>
      </c>
      <c r="E248" s="99">
        <v>0</v>
      </c>
      <c r="F248" s="138">
        <v>9563</v>
      </c>
      <c r="G248" s="99">
        <v>0</v>
      </c>
      <c r="H248" s="60">
        <v>3190</v>
      </c>
      <c r="I248" s="36">
        <v>3190</v>
      </c>
      <c r="J248" s="262">
        <v>0</v>
      </c>
      <c r="K248" s="369">
        <v>3190</v>
      </c>
      <c r="L248" s="331">
        <v>3190</v>
      </c>
      <c r="M248" s="370">
        <v>0</v>
      </c>
      <c r="N248" s="269">
        <v>3190</v>
      </c>
      <c r="O248" s="262">
        <v>0</v>
      </c>
    </row>
    <row r="249" spans="1:59" x14ac:dyDescent="0.25">
      <c r="A249" s="18">
        <v>4223</v>
      </c>
      <c r="B249" s="196" t="s">
        <v>122</v>
      </c>
      <c r="C249" s="175">
        <v>0</v>
      </c>
      <c r="D249" s="60">
        <v>1800</v>
      </c>
      <c r="E249" s="99">
        <v>0</v>
      </c>
      <c r="F249" s="138">
        <v>8500</v>
      </c>
      <c r="G249" s="99">
        <v>8669.9599999999991</v>
      </c>
      <c r="H249" s="60">
        <v>570</v>
      </c>
      <c r="I249" s="84">
        <v>570</v>
      </c>
      <c r="J249" s="262">
        <v>8500</v>
      </c>
      <c r="K249" s="261">
        <v>570</v>
      </c>
      <c r="L249" s="261">
        <v>570</v>
      </c>
      <c r="M249" s="350">
        <v>8500</v>
      </c>
      <c r="N249" s="269">
        <v>570</v>
      </c>
      <c r="O249" s="262">
        <v>8500</v>
      </c>
    </row>
    <row r="250" spans="1:59" s="74" customFormat="1" x14ac:dyDescent="0.25">
      <c r="A250" s="18" t="s">
        <v>147</v>
      </c>
      <c r="B250" s="196" t="s">
        <v>141</v>
      </c>
      <c r="C250" s="175">
        <v>36655.5</v>
      </c>
      <c r="D250" s="60">
        <v>212500</v>
      </c>
      <c r="E250" s="99">
        <v>122116.31</v>
      </c>
      <c r="F250" s="138">
        <v>595000</v>
      </c>
      <c r="G250" s="99">
        <v>0</v>
      </c>
      <c r="H250" s="60">
        <v>53125</v>
      </c>
      <c r="I250" s="36">
        <v>1466250</v>
      </c>
      <c r="J250" s="262">
        <v>0</v>
      </c>
      <c r="K250" s="369">
        <v>53125</v>
      </c>
      <c r="L250" s="331">
        <v>1147500</v>
      </c>
      <c r="M250" s="370">
        <v>0</v>
      </c>
      <c r="N250" s="269">
        <v>1147500</v>
      </c>
      <c r="O250" s="262">
        <v>0</v>
      </c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</row>
    <row r="251" spans="1:59" x14ac:dyDescent="0.25">
      <c r="A251" s="16" t="s">
        <v>107</v>
      </c>
      <c r="B251" s="198" t="s">
        <v>108</v>
      </c>
      <c r="C251" s="143">
        <f>SUM(C252)</f>
        <v>207714.5</v>
      </c>
      <c r="D251" s="40">
        <f t="shared" ref="D251:O251" si="139">SUM(D252)</f>
        <v>2720000</v>
      </c>
      <c r="E251" s="98">
        <f t="shared" si="139"/>
        <v>0</v>
      </c>
      <c r="F251" s="27">
        <f t="shared" si="139"/>
        <v>0</v>
      </c>
      <c r="G251" s="83">
        <f t="shared" si="139"/>
        <v>0</v>
      </c>
      <c r="H251" s="40">
        <f>SUM(H252)</f>
        <v>0</v>
      </c>
      <c r="I251" s="35">
        <f t="shared" si="139"/>
        <v>0</v>
      </c>
      <c r="J251" s="257">
        <f>SUM(J252)</f>
        <v>0</v>
      </c>
      <c r="K251" s="371">
        <f t="shared" si="139"/>
        <v>0</v>
      </c>
      <c r="L251" s="328">
        <f t="shared" si="139"/>
        <v>0</v>
      </c>
      <c r="M251" s="375">
        <f>SUM(M252)</f>
        <v>0</v>
      </c>
      <c r="N251" s="256">
        <f t="shared" si="139"/>
        <v>2720000</v>
      </c>
      <c r="O251" s="257">
        <f t="shared" si="139"/>
        <v>1445000</v>
      </c>
    </row>
    <row r="252" spans="1:59" ht="15.75" thickBot="1" x14ac:dyDescent="0.3">
      <c r="A252" s="18" t="s">
        <v>146</v>
      </c>
      <c r="B252" s="197" t="s">
        <v>109</v>
      </c>
      <c r="C252" s="179">
        <v>207714.5</v>
      </c>
      <c r="D252" s="61">
        <v>2720000</v>
      </c>
      <c r="E252" s="95">
        <v>0</v>
      </c>
      <c r="F252" s="152">
        <v>0</v>
      </c>
      <c r="G252" s="95">
        <v>0</v>
      </c>
      <c r="H252" s="61"/>
      <c r="I252" s="37">
        <v>0</v>
      </c>
      <c r="J252" s="299">
        <v>0</v>
      </c>
      <c r="K252" s="335">
        <v>0</v>
      </c>
      <c r="L252" s="337">
        <v>0</v>
      </c>
      <c r="M252" s="377">
        <v>0</v>
      </c>
      <c r="N252" s="300">
        <v>2720000</v>
      </c>
      <c r="O252" s="299">
        <v>1445000</v>
      </c>
    </row>
    <row r="253" spans="1:59" ht="15.75" thickBot="1" x14ac:dyDescent="0.3">
      <c r="A253" s="14" t="s">
        <v>133</v>
      </c>
      <c r="B253" s="200" t="s">
        <v>142</v>
      </c>
      <c r="C253" s="144">
        <f>C254</f>
        <v>662782.77</v>
      </c>
      <c r="D253" s="94">
        <f t="shared" ref="D253:H253" si="140">D254</f>
        <v>2194183</v>
      </c>
      <c r="E253" s="144">
        <f t="shared" si="140"/>
        <v>0</v>
      </c>
      <c r="F253" s="89">
        <f t="shared" si="140"/>
        <v>1760950</v>
      </c>
      <c r="G253" s="89">
        <f t="shared" si="140"/>
        <v>877076.19</v>
      </c>
      <c r="H253" s="89">
        <f t="shared" si="140"/>
        <v>2194183</v>
      </c>
      <c r="I253" s="89">
        <f>I254</f>
        <v>2623900</v>
      </c>
      <c r="J253" s="378">
        <f>J254</f>
        <v>2370100</v>
      </c>
      <c r="K253" s="379">
        <f t="shared" ref="K253:O253" si="141">K254</f>
        <v>2194183</v>
      </c>
      <c r="L253" s="380">
        <f t="shared" si="141"/>
        <v>2501400</v>
      </c>
      <c r="M253" s="381">
        <f>M254</f>
        <v>2287600</v>
      </c>
      <c r="N253" s="382">
        <f t="shared" si="141"/>
        <v>2501400</v>
      </c>
      <c r="O253" s="383">
        <f t="shared" si="141"/>
        <v>2287600</v>
      </c>
    </row>
    <row r="254" spans="1:59" ht="22.5" x14ac:dyDescent="0.25">
      <c r="A254" s="19" t="s">
        <v>134</v>
      </c>
      <c r="B254" s="195" t="s">
        <v>143</v>
      </c>
      <c r="C254" s="90">
        <f>SUM(C255)</f>
        <v>662782.77</v>
      </c>
      <c r="D254" s="64">
        <f>D255+D278</f>
        <v>2194183</v>
      </c>
      <c r="E254" s="90">
        <f t="shared" ref="E254" si="142">SUM(E255)</f>
        <v>0</v>
      </c>
      <c r="F254" s="213">
        <f t="shared" ref="F254:O254" si="143">F255+F278</f>
        <v>1760950</v>
      </c>
      <c r="G254" s="145">
        <f t="shared" si="143"/>
        <v>877076.19</v>
      </c>
      <c r="H254" s="64">
        <f t="shared" si="143"/>
        <v>2194183</v>
      </c>
      <c r="I254" s="109">
        <f t="shared" si="143"/>
        <v>2623900</v>
      </c>
      <c r="J254" s="346">
        <f t="shared" si="143"/>
        <v>2370100</v>
      </c>
      <c r="K254" s="384">
        <f t="shared" si="143"/>
        <v>2194183</v>
      </c>
      <c r="L254" s="385">
        <f t="shared" si="143"/>
        <v>2501400</v>
      </c>
      <c r="M254" s="386">
        <f t="shared" si="143"/>
        <v>2287600</v>
      </c>
      <c r="N254" s="345">
        <f t="shared" si="143"/>
        <v>2501400</v>
      </c>
      <c r="O254" s="346">
        <f t="shared" si="143"/>
        <v>2287600</v>
      </c>
    </row>
    <row r="255" spans="1:59" x14ac:dyDescent="0.25">
      <c r="A255" s="20" t="s">
        <v>150</v>
      </c>
      <c r="B255" s="184" t="s">
        <v>151</v>
      </c>
      <c r="C255" s="91">
        <f>C257+C262+C266+C270+C276</f>
        <v>662782.77</v>
      </c>
      <c r="D255" s="65">
        <f>D257+D262+D266+D270+D276</f>
        <v>590989</v>
      </c>
      <c r="E255" s="91">
        <f>E257+E262+E266+E270+E276</f>
        <v>0</v>
      </c>
      <c r="F255" s="208">
        <f>F256+F265+F275</f>
        <v>554000</v>
      </c>
      <c r="G255" s="146">
        <f>G256+G265+G275</f>
        <v>219269.05</v>
      </c>
      <c r="H255" s="65">
        <f>H256+H265+H275</f>
        <v>590989</v>
      </c>
      <c r="I255" s="110">
        <f>I257+I262+I266+I270+I276</f>
        <v>655250</v>
      </c>
      <c r="J255" s="338">
        <f>J256+J265+J275</f>
        <v>616900</v>
      </c>
      <c r="K255" s="387">
        <f>K257+K262+K266+K270+K276</f>
        <v>590989</v>
      </c>
      <c r="L255" s="388">
        <f>L257+L262+L266+L270+L276</f>
        <v>624625</v>
      </c>
      <c r="M255" s="389">
        <f>M256+M265+M275</f>
        <v>571900</v>
      </c>
      <c r="N255" s="339">
        <f>N257+N262+N266+N270+N276</f>
        <v>624625</v>
      </c>
      <c r="O255" s="338">
        <f>O256+O265+O275</f>
        <v>571900</v>
      </c>
    </row>
    <row r="256" spans="1:59" x14ac:dyDescent="0.25">
      <c r="A256" s="73" t="s">
        <v>7</v>
      </c>
      <c r="B256" s="189" t="s">
        <v>165</v>
      </c>
      <c r="C256" s="92"/>
      <c r="D256" s="66"/>
      <c r="E256" s="92"/>
      <c r="F256" s="209">
        <f>F257+F260+F262</f>
        <v>481500</v>
      </c>
      <c r="G256" s="147">
        <f>G257+G260+G262</f>
        <v>217947.49</v>
      </c>
      <c r="H256" s="66">
        <f>H257+H262</f>
        <v>482864</v>
      </c>
      <c r="I256" s="111">
        <f>I257+I262</f>
        <v>490000</v>
      </c>
      <c r="J256" s="348">
        <f>J257+J260+J262</f>
        <v>426900</v>
      </c>
      <c r="K256" s="390">
        <v>482864</v>
      </c>
      <c r="L256" s="391">
        <f t="shared" ref="L256" si="144">L257+L262</f>
        <v>490000</v>
      </c>
      <c r="M256" s="392">
        <f>M257+M262+M260</f>
        <v>426900</v>
      </c>
      <c r="N256" s="347">
        <f t="shared" ref="N256" si="145">N257+N262</f>
        <v>490000</v>
      </c>
      <c r="O256" s="348">
        <f>O257+O262+O260</f>
        <v>426900</v>
      </c>
    </row>
    <row r="257" spans="1:17" x14ac:dyDescent="0.25">
      <c r="A257" s="21" t="s">
        <v>19</v>
      </c>
      <c r="B257" s="196" t="s">
        <v>20</v>
      </c>
      <c r="C257" s="98">
        <f>C258</f>
        <v>500068.91</v>
      </c>
      <c r="D257" s="40">
        <f t="shared" ref="D257:E257" si="146">D258</f>
        <v>412000</v>
      </c>
      <c r="E257" s="98">
        <f t="shared" si="146"/>
        <v>0</v>
      </c>
      <c r="F257" s="27">
        <f t="shared" ref="F257:O257" si="147">SUM(F258:F259)</f>
        <v>410000</v>
      </c>
      <c r="G257" s="83">
        <f t="shared" si="147"/>
        <v>188254.25</v>
      </c>
      <c r="H257" s="40">
        <f t="shared" si="147"/>
        <v>412000</v>
      </c>
      <c r="I257" s="35">
        <f t="shared" si="147"/>
        <v>422000</v>
      </c>
      <c r="J257" s="257">
        <f t="shared" si="147"/>
        <v>360000</v>
      </c>
      <c r="K257" s="371">
        <f t="shared" si="147"/>
        <v>412000</v>
      </c>
      <c r="L257" s="328">
        <f t="shared" si="147"/>
        <v>422000</v>
      </c>
      <c r="M257" s="375">
        <f t="shared" si="147"/>
        <v>360000</v>
      </c>
      <c r="N257" s="256">
        <f t="shared" si="147"/>
        <v>422000</v>
      </c>
      <c r="O257" s="257">
        <f t="shared" si="147"/>
        <v>360000</v>
      </c>
      <c r="Q257" s="401">
        <f>J257+J280</f>
        <v>1440000</v>
      </c>
    </row>
    <row r="258" spans="1:17" x14ac:dyDescent="0.25">
      <c r="A258" s="22" t="s">
        <v>21</v>
      </c>
      <c r="B258" s="196" t="s">
        <v>22</v>
      </c>
      <c r="C258" s="175">
        <v>500068.91</v>
      </c>
      <c r="D258" s="60">
        <v>412000</v>
      </c>
      <c r="E258" s="99"/>
      <c r="F258" s="138">
        <v>400000</v>
      </c>
      <c r="G258" s="99">
        <v>188254.25</v>
      </c>
      <c r="H258" s="60">
        <v>412000</v>
      </c>
      <c r="I258" s="36">
        <v>412000</v>
      </c>
      <c r="J258" s="262">
        <v>350000</v>
      </c>
      <c r="K258" s="369">
        <v>412000</v>
      </c>
      <c r="L258" s="331">
        <v>412000</v>
      </c>
      <c r="M258" s="370">
        <v>350000</v>
      </c>
      <c r="N258" s="269">
        <v>412000</v>
      </c>
      <c r="O258" s="262">
        <v>350000</v>
      </c>
    </row>
    <row r="259" spans="1:17" x14ac:dyDescent="0.25">
      <c r="A259" s="22" t="s">
        <v>23</v>
      </c>
      <c r="B259" s="196" t="s">
        <v>24</v>
      </c>
      <c r="C259" s="175"/>
      <c r="D259" s="60"/>
      <c r="E259" s="99"/>
      <c r="F259" s="138">
        <v>10000</v>
      </c>
      <c r="G259" s="99">
        <v>0</v>
      </c>
      <c r="H259" s="60"/>
      <c r="I259" s="36">
        <v>10000</v>
      </c>
      <c r="J259" s="262">
        <v>10000</v>
      </c>
      <c r="K259" s="369"/>
      <c r="L259" s="331">
        <v>10000</v>
      </c>
      <c r="M259" s="370">
        <v>10000</v>
      </c>
      <c r="N259" s="269">
        <v>10000</v>
      </c>
      <c r="O259" s="262">
        <v>10000</v>
      </c>
    </row>
    <row r="260" spans="1:17" x14ac:dyDescent="0.25">
      <c r="A260" s="16" t="s">
        <v>25</v>
      </c>
      <c r="B260" s="196" t="s">
        <v>26</v>
      </c>
      <c r="C260" s="98">
        <f>SUM(C261)</f>
        <v>420000</v>
      </c>
      <c r="D260" s="40">
        <f t="shared" ref="D260:O260" si="148">SUM(D261)</f>
        <v>187000</v>
      </c>
      <c r="E260" s="98">
        <f t="shared" si="148"/>
        <v>2125</v>
      </c>
      <c r="F260" s="27">
        <f t="shared" si="148"/>
        <v>7500</v>
      </c>
      <c r="G260" s="83">
        <f t="shared" si="148"/>
        <v>2625</v>
      </c>
      <c r="H260" s="40">
        <f>SUM(H261)</f>
        <v>187000</v>
      </c>
      <c r="I260" s="35">
        <f t="shared" si="148"/>
        <v>187000</v>
      </c>
      <c r="J260" s="257">
        <f>SUM(J261)</f>
        <v>7500</v>
      </c>
      <c r="K260" s="371">
        <f t="shared" si="148"/>
        <v>187000</v>
      </c>
      <c r="L260" s="328">
        <f t="shared" si="148"/>
        <v>187000</v>
      </c>
      <c r="M260" s="372">
        <f>SUM(M261)</f>
        <v>7500</v>
      </c>
      <c r="N260" s="256">
        <f t="shared" si="148"/>
        <v>187000</v>
      </c>
      <c r="O260" s="257">
        <f t="shared" si="148"/>
        <v>7500</v>
      </c>
    </row>
    <row r="261" spans="1:17" x14ac:dyDescent="0.25">
      <c r="A261" s="17" t="s">
        <v>27</v>
      </c>
      <c r="B261" s="196" t="s">
        <v>26</v>
      </c>
      <c r="C261" s="175">
        <f>195000+225000</f>
        <v>420000</v>
      </c>
      <c r="D261" s="60">
        <v>187000</v>
      </c>
      <c r="E261" s="99">
        <v>2125</v>
      </c>
      <c r="F261" s="138">
        <v>7500</v>
      </c>
      <c r="G261" s="99">
        <v>2625</v>
      </c>
      <c r="H261" s="60">
        <v>187000</v>
      </c>
      <c r="I261" s="36">
        <v>187000</v>
      </c>
      <c r="J261" s="262">
        <v>7500</v>
      </c>
      <c r="K261" s="369">
        <v>187000</v>
      </c>
      <c r="L261" s="331">
        <v>187000</v>
      </c>
      <c r="M261" s="370">
        <v>7500</v>
      </c>
      <c r="N261" s="269">
        <v>187000</v>
      </c>
      <c r="O261" s="262">
        <v>7500</v>
      </c>
    </row>
    <row r="262" spans="1:17" x14ac:dyDescent="0.25">
      <c r="A262" s="21" t="s">
        <v>28</v>
      </c>
      <c r="B262" s="196" t="s">
        <v>29</v>
      </c>
      <c r="C262" s="98">
        <f>C263+C264</f>
        <v>75033.63</v>
      </c>
      <c r="D262" s="40">
        <f>SUM(D263:D264)</f>
        <v>70864</v>
      </c>
      <c r="E262" s="98">
        <f t="shared" ref="E262" si="149">E263+E264</f>
        <v>0</v>
      </c>
      <c r="F262" s="27">
        <f t="shared" ref="F262:O262" si="150">SUM(F263:F264)</f>
        <v>64000</v>
      </c>
      <c r="G262" s="83">
        <f t="shared" si="150"/>
        <v>27068.240000000002</v>
      </c>
      <c r="H262" s="40">
        <f t="shared" si="150"/>
        <v>70864</v>
      </c>
      <c r="I262" s="35">
        <f t="shared" si="150"/>
        <v>68000</v>
      </c>
      <c r="J262" s="257">
        <f t="shared" si="150"/>
        <v>59400</v>
      </c>
      <c r="K262" s="371">
        <f t="shared" si="150"/>
        <v>70864</v>
      </c>
      <c r="L262" s="328">
        <f t="shared" si="150"/>
        <v>68000</v>
      </c>
      <c r="M262" s="375">
        <f t="shared" si="150"/>
        <v>59400</v>
      </c>
      <c r="N262" s="256">
        <f t="shared" si="150"/>
        <v>68000</v>
      </c>
      <c r="O262" s="257">
        <f t="shared" si="150"/>
        <v>59400</v>
      </c>
    </row>
    <row r="263" spans="1:17" x14ac:dyDescent="0.25">
      <c r="A263" s="22" t="s">
        <v>30</v>
      </c>
      <c r="B263" s="196" t="s">
        <v>31</v>
      </c>
      <c r="C263" s="175">
        <v>67617.53</v>
      </c>
      <c r="D263" s="60">
        <v>63860</v>
      </c>
      <c r="E263" s="99"/>
      <c r="F263" s="138">
        <v>64000</v>
      </c>
      <c r="G263" s="99">
        <v>27068.240000000002</v>
      </c>
      <c r="H263" s="60">
        <v>63860</v>
      </c>
      <c r="I263" s="36">
        <v>68000</v>
      </c>
      <c r="J263" s="262">
        <v>59400</v>
      </c>
      <c r="K263" s="369">
        <v>63860</v>
      </c>
      <c r="L263" s="331">
        <v>68000</v>
      </c>
      <c r="M263" s="370">
        <f>M257*16.5/100</f>
        <v>59400</v>
      </c>
      <c r="N263" s="269">
        <v>68000</v>
      </c>
      <c r="O263" s="262">
        <v>59400</v>
      </c>
    </row>
    <row r="264" spans="1:17" x14ac:dyDescent="0.25">
      <c r="A264" s="22" t="s">
        <v>32</v>
      </c>
      <c r="B264" s="196" t="s">
        <v>140</v>
      </c>
      <c r="C264" s="175">
        <v>7416.1</v>
      </c>
      <c r="D264" s="60">
        <v>7004</v>
      </c>
      <c r="E264" s="99"/>
      <c r="F264" s="138">
        <v>0</v>
      </c>
      <c r="G264" s="99">
        <v>0</v>
      </c>
      <c r="H264" s="60">
        <v>7004</v>
      </c>
      <c r="I264" s="36">
        <v>0</v>
      </c>
      <c r="J264" s="262">
        <v>0</v>
      </c>
      <c r="K264" s="369">
        <v>7004</v>
      </c>
      <c r="L264" s="331">
        <v>0</v>
      </c>
      <c r="M264" s="370">
        <v>0</v>
      </c>
      <c r="N264" s="269">
        <v>0</v>
      </c>
      <c r="O264" s="262">
        <v>0</v>
      </c>
    </row>
    <row r="265" spans="1:17" x14ac:dyDescent="0.25">
      <c r="A265" s="71">
        <v>32</v>
      </c>
      <c r="B265" s="201" t="s">
        <v>164</v>
      </c>
      <c r="C265" s="181"/>
      <c r="D265" s="67"/>
      <c r="E265" s="100"/>
      <c r="F265" s="54">
        <f t="shared" ref="F265:G265" si="151">F266+F270</f>
        <v>65000</v>
      </c>
      <c r="G265" s="148">
        <f t="shared" si="151"/>
        <v>1321.56</v>
      </c>
      <c r="H265" s="67">
        <f>H266+H270</f>
        <v>106250</v>
      </c>
      <c r="I265" s="79">
        <f>I266+I270</f>
        <v>163375</v>
      </c>
      <c r="J265" s="270">
        <f>J266+J270</f>
        <v>152500</v>
      </c>
      <c r="K265" s="271">
        <v>106250</v>
      </c>
      <c r="L265" s="334">
        <f t="shared" ref="L265" si="152">L266+L270</f>
        <v>132750</v>
      </c>
      <c r="M265" s="373">
        <f>M266+M270</f>
        <v>140000</v>
      </c>
      <c r="N265" s="265">
        <f t="shared" ref="N265:O265" si="153">N266+N270</f>
        <v>132750</v>
      </c>
      <c r="O265" s="270">
        <f t="shared" si="153"/>
        <v>140000</v>
      </c>
    </row>
    <row r="266" spans="1:17" x14ac:dyDescent="0.25">
      <c r="A266" s="16" t="s">
        <v>33</v>
      </c>
      <c r="B266" s="198" t="s">
        <v>34</v>
      </c>
      <c r="C266" s="143">
        <f>C267+C269</f>
        <v>65337.73</v>
      </c>
      <c r="D266" s="40">
        <f>D267+D269</f>
        <v>50000</v>
      </c>
      <c r="E266" s="98">
        <f t="shared" ref="E266" si="154">E267+E269</f>
        <v>0</v>
      </c>
      <c r="F266" s="27">
        <f t="shared" ref="F266:G266" si="155">SUM(F267:F269)</f>
        <v>48750</v>
      </c>
      <c r="G266" s="83">
        <f t="shared" si="155"/>
        <v>1321.56</v>
      </c>
      <c r="H266" s="40">
        <f>SUM(H267:H269)</f>
        <v>50000</v>
      </c>
      <c r="I266" s="35">
        <f>I267+I269+I268</f>
        <v>96875</v>
      </c>
      <c r="J266" s="257">
        <f>SUM(J267:J269)</f>
        <v>106250</v>
      </c>
      <c r="K266" s="371">
        <f>K267+K269+K268</f>
        <v>50000</v>
      </c>
      <c r="L266" s="328">
        <f>L267+L269+L268</f>
        <v>68750</v>
      </c>
      <c r="M266" s="375">
        <f>SUM(M267:M269)</f>
        <v>68750</v>
      </c>
      <c r="N266" s="256">
        <f>N267+N269+N268</f>
        <v>68750</v>
      </c>
      <c r="O266" s="257">
        <f>O267+O269+O268</f>
        <v>68750</v>
      </c>
    </row>
    <row r="267" spans="1:17" x14ac:dyDescent="0.25">
      <c r="A267" s="17" t="s">
        <v>35</v>
      </c>
      <c r="B267" s="196" t="s">
        <v>36</v>
      </c>
      <c r="C267" s="175">
        <v>50487.73</v>
      </c>
      <c r="D267" s="60">
        <v>25000</v>
      </c>
      <c r="E267" s="99"/>
      <c r="F267" s="138">
        <v>20000</v>
      </c>
      <c r="G267" s="99">
        <v>0</v>
      </c>
      <c r="H267" s="60">
        <v>25000</v>
      </c>
      <c r="I267" s="36">
        <v>40625</v>
      </c>
      <c r="J267" s="262">
        <v>62500</v>
      </c>
      <c r="K267" s="369">
        <v>25000</v>
      </c>
      <c r="L267" s="331">
        <v>25000</v>
      </c>
      <c r="M267" s="370">
        <v>25000</v>
      </c>
      <c r="N267" s="269">
        <v>25000</v>
      </c>
      <c r="O267" s="262">
        <v>25000</v>
      </c>
    </row>
    <row r="268" spans="1:17" x14ac:dyDescent="0.25">
      <c r="A268" s="17" t="s">
        <v>37</v>
      </c>
      <c r="B268" s="196" t="s">
        <v>38</v>
      </c>
      <c r="C268" s="175"/>
      <c r="D268" s="60"/>
      <c r="E268" s="99"/>
      <c r="F268" s="138">
        <v>18750</v>
      </c>
      <c r="G268" s="99">
        <v>1321.56</v>
      </c>
      <c r="H268" s="60"/>
      <c r="I268" s="36">
        <v>18750</v>
      </c>
      <c r="J268" s="262">
        <v>18750</v>
      </c>
      <c r="K268" s="369"/>
      <c r="L268" s="331">
        <v>18750</v>
      </c>
      <c r="M268" s="370">
        <v>18750</v>
      </c>
      <c r="N268" s="269">
        <v>18750</v>
      </c>
      <c r="O268" s="262">
        <v>18750</v>
      </c>
    </row>
    <row r="269" spans="1:17" x14ac:dyDescent="0.25">
      <c r="A269" s="17" t="s">
        <v>39</v>
      </c>
      <c r="B269" s="196" t="s">
        <v>40</v>
      </c>
      <c r="C269" s="175">
        <v>14850</v>
      </c>
      <c r="D269" s="60">
        <v>25000</v>
      </c>
      <c r="E269" s="99"/>
      <c r="F269" s="138">
        <v>10000</v>
      </c>
      <c r="G269" s="99">
        <v>0</v>
      </c>
      <c r="H269" s="60">
        <v>25000</v>
      </c>
      <c r="I269" s="36">
        <v>37500</v>
      </c>
      <c r="J269" s="262">
        <v>25000</v>
      </c>
      <c r="K269" s="369">
        <v>25000</v>
      </c>
      <c r="L269" s="331">
        <v>25000</v>
      </c>
      <c r="M269" s="370">
        <v>25000</v>
      </c>
      <c r="N269" s="269">
        <v>25000</v>
      </c>
      <c r="O269" s="262">
        <v>25000</v>
      </c>
    </row>
    <row r="270" spans="1:17" x14ac:dyDescent="0.25">
      <c r="A270" s="16" t="s">
        <v>55</v>
      </c>
      <c r="B270" s="196" t="s">
        <v>56</v>
      </c>
      <c r="C270" s="98">
        <f>C274</f>
        <v>22342.5</v>
      </c>
      <c r="D270" s="40">
        <f>SUM(D273:D274)</f>
        <v>56250</v>
      </c>
      <c r="E270" s="98">
        <f t="shared" ref="E270" si="156">E274</f>
        <v>0</v>
      </c>
      <c r="F270" s="27">
        <f>SUM(F271:F274)</f>
        <v>16250</v>
      </c>
      <c r="G270" s="83">
        <f>SUM(G271:G274)</f>
        <v>0</v>
      </c>
      <c r="H270" s="40">
        <f>SUM(H272:H274)</f>
        <v>56250</v>
      </c>
      <c r="I270" s="35">
        <f>SUM(I272:I274)</f>
        <v>66500</v>
      </c>
      <c r="J270" s="257">
        <f>SUM(J271:J274)</f>
        <v>46250</v>
      </c>
      <c r="K270" s="371">
        <f>SUM(K272:K274)</f>
        <v>56250</v>
      </c>
      <c r="L270" s="328">
        <f>SUM(L272:L274)</f>
        <v>64000</v>
      </c>
      <c r="M270" s="375">
        <f>SUM(M271:M274)</f>
        <v>71250</v>
      </c>
      <c r="N270" s="256">
        <f>SUM(N272:N274)</f>
        <v>64000</v>
      </c>
      <c r="O270" s="257">
        <f>SUM(O271:O274)</f>
        <v>71250</v>
      </c>
    </row>
    <row r="271" spans="1:17" x14ac:dyDescent="0.25">
      <c r="A271" s="16" t="s">
        <v>57</v>
      </c>
      <c r="B271" s="196" t="s">
        <v>58</v>
      </c>
      <c r="C271" s="98"/>
      <c r="D271" s="40"/>
      <c r="E271" s="98"/>
      <c r="F271" s="108">
        <v>1250</v>
      </c>
      <c r="G271" s="101">
        <v>0</v>
      </c>
      <c r="H271" s="69">
        <v>0</v>
      </c>
      <c r="I271" s="108">
        <v>0</v>
      </c>
      <c r="J271" s="322">
        <v>1250</v>
      </c>
      <c r="K271" s="323">
        <v>0</v>
      </c>
      <c r="L271" s="325">
        <v>0</v>
      </c>
      <c r="M271" s="376">
        <v>1250</v>
      </c>
      <c r="N271" s="353"/>
      <c r="O271" s="322">
        <v>1250</v>
      </c>
    </row>
    <row r="272" spans="1:17" x14ac:dyDescent="0.25">
      <c r="A272" s="16" t="s">
        <v>61</v>
      </c>
      <c r="B272" s="196" t="s">
        <v>62</v>
      </c>
      <c r="C272" s="101"/>
      <c r="D272" s="69">
        <v>0</v>
      </c>
      <c r="E272" s="101">
        <v>1421.87</v>
      </c>
      <c r="F272" s="151">
        <v>7500</v>
      </c>
      <c r="G272" s="101">
        <v>0</v>
      </c>
      <c r="H272" s="69"/>
      <c r="I272" s="108">
        <v>1500</v>
      </c>
      <c r="J272" s="322">
        <v>7500</v>
      </c>
      <c r="K272" s="323"/>
      <c r="L272" s="325">
        <v>1500</v>
      </c>
      <c r="M272" s="376">
        <v>7500</v>
      </c>
      <c r="N272" s="353">
        <v>1500</v>
      </c>
      <c r="O272" s="322">
        <v>7500</v>
      </c>
    </row>
    <row r="273" spans="1:17" x14ac:dyDescent="0.25">
      <c r="A273" s="16" t="s">
        <v>65</v>
      </c>
      <c r="B273" s="196" t="s">
        <v>66</v>
      </c>
      <c r="C273" s="101"/>
      <c r="D273" s="60">
        <v>25000</v>
      </c>
      <c r="E273" s="99"/>
      <c r="F273" s="138">
        <v>2500</v>
      </c>
      <c r="G273" s="99">
        <v>0</v>
      </c>
      <c r="H273" s="60">
        <v>25000</v>
      </c>
      <c r="I273" s="36">
        <v>25000</v>
      </c>
      <c r="J273" s="262">
        <v>25000</v>
      </c>
      <c r="K273" s="369">
        <v>25000</v>
      </c>
      <c r="L273" s="331">
        <v>25000</v>
      </c>
      <c r="M273" s="370">
        <v>25000</v>
      </c>
      <c r="N273" s="269">
        <v>25000</v>
      </c>
      <c r="O273" s="262">
        <v>25000</v>
      </c>
    </row>
    <row r="274" spans="1:17" x14ac:dyDescent="0.25">
      <c r="A274" s="16" t="s">
        <v>69</v>
      </c>
      <c r="B274" s="196" t="s">
        <v>70</v>
      </c>
      <c r="C274" s="175">
        <v>22342.5</v>
      </c>
      <c r="D274" s="60">
        <v>31250</v>
      </c>
      <c r="E274" s="99"/>
      <c r="F274" s="138">
        <v>5000</v>
      </c>
      <c r="G274" s="99">
        <v>0</v>
      </c>
      <c r="H274" s="60">
        <v>31250</v>
      </c>
      <c r="I274" s="36">
        <v>40000</v>
      </c>
      <c r="J274" s="262">
        <v>12500</v>
      </c>
      <c r="K274" s="369">
        <v>31250</v>
      </c>
      <c r="L274" s="331">
        <v>37500</v>
      </c>
      <c r="M274" s="370">
        <v>37500</v>
      </c>
      <c r="N274" s="269">
        <v>37500</v>
      </c>
      <c r="O274" s="262">
        <v>37500</v>
      </c>
    </row>
    <row r="275" spans="1:17" x14ac:dyDescent="0.25">
      <c r="A275" s="72" t="s">
        <v>157</v>
      </c>
      <c r="B275" s="189" t="s">
        <v>167</v>
      </c>
      <c r="C275" s="130"/>
      <c r="D275" s="67"/>
      <c r="E275" s="100"/>
      <c r="F275" s="54">
        <f t="shared" ref="F275:G275" si="157">F276</f>
        <v>7500</v>
      </c>
      <c r="G275" s="148">
        <f t="shared" si="157"/>
        <v>0</v>
      </c>
      <c r="H275" s="67">
        <f>H276</f>
        <v>1875</v>
      </c>
      <c r="I275" s="79">
        <f>I276</f>
        <v>1875</v>
      </c>
      <c r="J275" s="270">
        <f>J276</f>
        <v>37500</v>
      </c>
      <c r="K275" s="271">
        <f t="shared" ref="K275:O275" si="158">K276</f>
        <v>1875</v>
      </c>
      <c r="L275" s="334">
        <f t="shared" si="158"/>
        <v>1875</v>
      </c>
      <c r="M275" s="373">
        <f>M276</f>
        <v>5000</v>
      </c>
      <c r="N275" s="265">
        <f t="shared" si="158"/>
        <v>1875</v>
      </c>
      <c r="O275" s="270">
        <f t="shared" si="158"/>
        <v>5000</v>
      </c>
    </row>
    <row r="276" spans="1:17" x14ac:dyDescent="0.25">
      <c r="A276" s="16" t="s">
        <v>103</v>
      </c>
      <c r="B276" s="196" t="s">
        <v>104</v>
      </c>
      <c r="C276" s="98">
        <f>C277</f>
        <v>0</v>
      </c>
      <c r="D276" s="40">
        <f t="shared" ref="D276:O276" si="159">D277</f>
        <v>1875</v>
      </c>
      <c r="E276" s="98">
        <f t="shared" si="159"/>
        <v>0</v>
      </c>
      <c r="F276" s="27">
        <f t="shared" ref="F276:G276" si="160">SUM(F277)</f>
        <v>7500</v>
      </c>
      <c r="G276" s="83">
        <f t="shared" si="160"/>
        <v>0</v>
      </c>
      <c r="H276" s="40">
        <f>SUM(H277)</f>
        <v>1875</v>
      </c>
      <c r="I276" s="35">
        <f t="shared" si="159"/>
        <v>1875</v>
      </c>
      <c r="J276" s="257">
        <f>J277</f>
        <v>37500</v>
      </c>
      <c r="K276" s="371">
        <f t="shared" si="159"/>
        <v>1875</v>
      </c>
      <c r="L276" s="328">
        <f t="shared" si="159"/>
        <v>1875</v>
      </c>
      <c r="M276" s="375">
        <f>SUM(M277)</f>
        <v>5000</v>
      </c>
      <c r="N276" s="256">
        <f t="shared" si="159"/>
        <v>1875</v>
      </c>
      <c r="O276" s="257">
        <f t="shared" si="159"/>
        <v>5000</v>
      </c>
    </row>
    <row r="277" spans="1:17" ht="15.75" thickBot="1" x14ac:dyDescent="0.3">
      <c r="A277" s="43" t="s">
        <v>105</v>
      </c>
      <c r="B277" s="202" t="s">
        <v>106</v>
      </c>
      <c r="C277" s="176">
        <v>0</v>
      </c>
      <c r="D277" s="62">
        <v>1875</v>
      </c>
      <c r="E277" s="128"/>
      <c r="F277" s="133">
        <v>7500</v>
      </c>
      <c r="G277" s="128">
        <v>0</v>
      </c>
      <c r="H277" s="62">
        <v>1875</v>
      </c>
      <c r="I277" s="59">
        <v>1875</v>
      </c>
      <c r="J277" s="282">
        <v>37500</v>
      </c>
      <c r="K277" s="393">
        <v>1875</v>
      </c>
      <c r="L277" s="394">
        <v>1875</v>
      </c>
      <c r="M277" s="395">
        <v>5000</v>
      </c>
      <c r="N277" s="281">
        <v>1875</v>
      </c>
      <c r="O277" s="282">
        <v>5000</v>
      </c>
    </row>
    <row r="278" spans="1:17" x14ac:dyDescent="0.25">
      <c r="A278" s="20" t="s">
        <v>152</v>
      </c>
      <c r="B278" s="184" t="s">
        <v>145</v>
      </c>
      <c r="C278" s="91">
        <f t="shared" ref="C278:E278" si="161">C280+C285+C289+C293+C299</f>
        <v>662782.77</v>
      </c>
      <c r="D278" s="65">
        <f t="shared" si="161"/>
        <v>1603194</v>
      </c>
      <c r="E278" s="91">
        <f t="shared" si="161"/>
        <v>4265.63</v>
      </c>
      <c r="F278" s="208">
        <f>F279+F288+F298</f>
        <v>1206950</v>
      </c>
      <c r="G278" s="146">
        <f t="shared" ref="G278" si="162">G279+G288+G298</f>
        <v>657807.14</v>
      </c>
      <c r="H278" s="65">
        <f>H279+H288+H298</f>
        <v>1603194</v>
      </c>
      <c r="I278" s="110">
        <f>I280+I285+I289+I293+I299</f>
        <v>1968650</v>
      </c>
      <c r="J278" s="338">
        <f>J279+J288+J298</f>
        <v>1753200</v>
      </c>
      <c r="K278" s="387">
        <f t="shared" ref="K278:L278" si="163">K280+K285+K289+K293+K299</f>
        <v>1603194</v>
      </c>
      <c r="L278" s="388">
        <f t="shared" si="163"/>
        <v>1876775</v>
      </c>
      <c r="M278" s="389">
        <f>M279+M288+M298</f>
        <v>1715700</v>
      </c>
      <c r="N278" s="339">
        <f t="shared" ref="N278" si="164">N280+N285+N289+N293+N299</f>
        <v>1876775</v>
      </c>
      <c r="O278" s="338">
        <f>O279+O288+O298</f>
        <v>1715700</v>
      </c>
      <c r="Q278" s="401"/>
    </row>
    <row r="279" spans="1:17" x14ac:dyDescent="0.25">
      <c r="A279" s="70" t="s">
        <v>7</v>
      </c>
      <c r="B279" s="189" t="s">
        <v>165</v>
      </c>
      <c r="C279" s="92"/>
      <c r="D279" s="66"/>
      <c r="E279" s="92"/>
      <c r="F279" s="209">
        <f>F280+F283+F285</f>
        <v>989450</v>
      </c>
      <c r="G279" s="147">
        <f>G280+G283+G285</f>
        <v>653842.48</v>
      </c>
      <c r="H279" s="66">
        <f>H280+H285</f>
        <v>1278819</v>
      </c>
      <c r="I279" s="111">
        <f>I280+I285</f>
        <v>1472900</v>
      </c>
      <c r="J279" s="348">
        <f>J280+J285+J283</f>
        <v>1280700</v>
      </c>
      <c r="K279" s="390">
        <f t="shared" ref="K279:L279" si="165">K280+K285</f>
        <v>1278819</v>
      </c>
      <c r="L279" s="391">
        <f t="shared" si="165"/>
        <v>1472900</v>
      </c>
      <c r="M279" s="392">
        <f>M280+M285+M283</f>
        <v>1280700</v>
      </c>
      <c r="N279" s="347">
        <f t="shared" ref="N279" si="166">N280+N285</f>
        <v>1472900</v>
      </c>
      <c r="O279" s="348">
        <f>O280+O283+O285</f>
        <v>1280700</v>
      </c>
      <c r="Q279" s="401"/>
    </row>
    <row r="280" spans="1:17" x14ac:dyDescent="0.25">
      <c r="A280" s="21" t="s">
        <v>19</v>
      </c>
      <c r="B280" s="196" t="s">
        <v>20</v>
      </c>
      <c r="C280" s="98">
        <f>C281</f>
        <v>500068.91</v>
      </c>
      <c r="D280" s="40">
        <f t="shared" ref="D280:E280" si="167">D281</f>
        <v>1237900</v>
      </c>
      <c r="E280" s="98">
        <f t="shared" si="167"/>
        <v>0</v>
      </c>
      <c r="F280" s="27">
        <f t="shared" ref="F280:G280" si="168">SUM(F281:F282)</f>
        <v>830000</v>
      </c>
      <c r="G280" s="83">
        <f t="shared" si="168"/>
        <v>564762.71</v>
      </c>
      <c r="H280" s="40">
        <f t="shared" ref="H280:O280" si="169">SUM(H281:H282)</f>
        <v>1237900</v>
      </c>
      <c r="I280" s="35">
        <f t="shared" si="169"/>
        <v>1267900</v>
      </c>
      <c r="J280" s="257">
        <f t="shared" si="169"/>
        <v>1080000</v>
      </c>
      <c r="K280" s="371">
        <f t="shared" si="169"/>
        <v>1237900</v>
      </c>
      <c r="L280" s="328">
        <f t="shared" si="169"/>
        <v>1267900</v>
      </c>
      <c r="M280" s="375">
        <f t="shared" si="169"/>
        <v>1080000</v>
      </c>
      <c r="N280" s="256">
        <f t="shared" si="169"/>
        <v>1267900</v>
      </c>
      <c r="O280" s="257">
        <f t="shared" si="169"/>
        <v>1080000</v>
      </c>
    </row>
    <row r="281" spans="1:17" x14ac:dyDescent="0.25">
      <c r="A281" s="22" t="s">
        <v>21</v>
      </c>
      <c r="B281" s="196" t="s">
        <v>22</v>
      </c>
      <c r="C281" s="175">
        <v>500068.91</v>
      </c>
      <c r="D281" s="60">
        <v>1237900</v>
      </c>
      <c r="E281" s="99"/>
      <c r="F281" s="138">
        <v>800000</v>
      </c>
      <c r="G281" s="99">
        <v>564762.71</v>
      </c>
      <c r="H281" s="60">
        <v>1237900</v>
      </c>
      <c r="I281" s="36">
        <v>1237900</v>
      </c>
      <c r="J281" s="262">
        <v>1050000</v>
      </c>
      <c r="K281" s="369">
        <v>1237900</v>
      </c>
      <c r="L281" s="331">
        <v>1237900</v>
      </c>
      <c r="M281" s="370">
        <v>1050000</v>
      </c>
      <c r="N281" s="269">
        <v>1237900</v>
      </c>
      <c r="O281" s="262">
        <v>1050000</v>
      </c>
    </row>
    <row r="282" spans="1:17" x14ac:dyDescent="0.25">
      <c r="A282" s="22" t="s">
        <v>23</v>
      </c>
      <c r="B282" s="196" t="s">
        <v>24</v>
      </c>
      <c r="C282" s="175"/>
      <c r="D282" s="60"/>
      <c r="E282" s="99"/>
      <c r="F282" s="138">
        <v>30000</v>
      </c>
      <c r="G282" s="99">
        <v>0</v>
      </c>
      <c r="H282" s="60"/>
      <c r="I282" s="36">
        <v>30000</v>
      </c>
      <c r="J282" s="262">
        <v>30000</v>
      </c>
      <c r="K282" s="369"/>
      <c r="L282" s="331">
        <v>30000</v>
      </c>
      <c r="M282" s="370">
        <v>30000</v>
      </c>
      <c r="N282" s="269">
        <v>30000</v>
      </c>
      <c r="O282" s="262">
        <v>30000</v>
      </c>
    </row>
    <row r="283" spans="1:17" x14ac:dyDescent="0.25">
      <c r="A283" s="16" t="s">
        <v>25</v>
      </c>
      <c r="B283" s="196" t="s">
        <v>26</v>
      </c>
      <c r="C283" s="98">
        <f>SUM(C284)</f>
        <v>420000</v>
      </c>
      <c r="D283" s="40">
        <f t="shared" ref="D283:O283" si="170">SUM(D284)</f>
        <v>187000</v>
      </c>
      <c r="E283" s="98">
        <f t="shared" si="170"/>
        <v>2125</v>
      </c>
      <c r="F283" s="27">
        <f t="shared" si="170"/>
        <v>22500</v>
      </c>
      <c r="G283" s="83">
        <f t="shared" si="170"/>
        <v>7875</v>
      </c>
      <c r="H283" s="40">
        <f>SUM(H284)</f>
        <v>187000</v>
      </c>
      <c r="I283" s="35">
        <f t="shared" si="170"/>
        <v>187000</v>
      </c>
      <c r="J283" s="257">
        <f>SUM(J284)</f>
        <v>22500</v>
      </c>
      <c r="K283" s="371">
        <f t="shared" si="170"/>
        <v>187000</v>
      </c>
      <c r="L283" s="328">
        <f t="shared" si="170"/>
        <v>187000</v>
      </c>
      <c r="M283" s="372">
        <f>SUM(M284)</f>
        <v>22500</v>
      </c>
      <c r="N283" s="256">
        <f t="shared" si="170"/>
        <v>187000</v>
      </c>
      <c r="O283" s="257">
        <f t="shared" si="170"/>
        <v>22500</v>
      </c>
    </row>
    <row r="284" spans="1:17" x14ac:dyDescent="0.25">
      <c r="A284" s="17" t="s">
        <v>27</v>
      </c>
      <c r="B284" s="196" t="s">
        <v>26</v>
      </c>
      <c r="C284" s="175">
        <f>195000+225000</f>
        <v>420000</v>
      </c>
      <c r="D284" s="60">
        <v>187000</v>
      </c>
      <c r="E284" s="99">
        <v>2125</v>
      </c>
      <c r="F284" s="138">
        <v>22500</v>
      </c>
      <c r="G284" s="99">
        <v>7875</v>
      </c>
      <c r="H284" s="60">
        <v>187000</v>
      </c>
      <c r="I284" s="36">
        <v>187000</v>
      </c>
      <c r="J284" s="262">
        <v>22500</v>
      </c>
      <c r="K284" s="369">
        <v>187000</v>
      </c>
      <c r="L284" s="331">
        <v>187000</v>
      </c>
      <c r="M284" s="370">
        <v>22500</v>
      </c>
      <c r="N284" s="269">
        <v>187000</v>
      </c>
      <c r="O284" s="262">
        <v>22500</v>
      </c>
    </row>
    <row r="285" spans="1:17" x14ac:dyDescent="0.25">
      <c r="A285" s="21" t="s">
        <v>28</v>
      </c>
      <c r="B285" s="196" t="s">
        <v>29</v>
      </c>
      <c r="C285" s="98">
        <f>C286+C287</f>
        <v>75033.63</v>
      </c>
      <c r="D285" s="40">
        <f>SUM(D286:D287)</f>
        <v>40919</v>
      </c>
      <c r="E285" s="98">
        <f t="shared" ref="E285" si="171">E286+E287</f>
        <v>0</v>
      </c>
      <c r="F285" s="27">
        <f t="shared" ref="F285:O285" si="172">SUM(F286:F287)</f>
        <v>136950</v>
      </c>
      <c r="G285" s="83">
        <f t="shared" si="172"/>
        <v>81204.77</v>
      </c>
      <c r="H285" s="40">
        <f t="shared" si="172"/>
        <v>40919</v>
      </c>
      <c r="I285" s="35">
        <f t="shared" si="172"/>
        <v>205000</v>
      </c>
      <c r="J285" s="257">
        <f t="shared" si="172"/>
        <v>178200</v>
      </c>
      <c r="K285" s="371">
        <f t="shared" si="172"/>
        <v>40919</v>
      </c>
      <c r="L285" s="328">
        <f t="shared" si="172"/>
        <v>205000</v>
      </c>
      <c r="M285" s="375">
        <f t="shared" si="172"/>
        <v>178200</v>
      </c>
      <c r="N285" s="256">
        <f t="shared" si="172"/>
        <v>205000</v>
      </c>
      <c r="O285" s="257">
        <f t="shared" si="172"/>
        <v>178200</v>
      </c>
    </row>
    <row r="286" spans="1:17" x14ac:dyDescent="0.25">
      <c r="A286" s="22" t="s">
        <v>30</v>
      </c>
      <c r="B286" s="196" t="s">
        <v>31</v>
      </c>
      <c r="C286" s="175">
        <v>67617.53</v>
      </c>
      <c r="D286" s="60">
        <v>19875</v>
      </c>
      <c r="E286" s="99"/>
      <c r="F286" s="138">
        <v>136950</v>
      </c>
      <c r="G286" s="99">
        <v>81204.77</v>
      </c>
      <c r="H286" s="60">
        <v>19875</v>
      </c>
      <c r="I286" s="36">
        <v>205000</v>
      </c>
      <c r="J286" s="262">
        <f>J280*16.5/100</f>
        <v>178200</v>
      </c>
      <c r="K286" s="369">
        <v>19875</v>
      </c>
      <c r="L286" s="331">
        <v>205000</v>
      </c>
      <c r="M286" s="370">
        <f>M280*16.5/100</f>
        <v>178200</v>
      </c>
      <c r="N286" s="269">
        <v>205000</v>
      </c>
      <c r="O286" s="262">
        <f>O280*16.5/100</f>
        <v>178200</v>
      </c>
    </row>
    <row r="287" spans="1:17" x14ac:dyDescent="0.25">
      <c r="A287" s="22" t="s">
        <v>32</v>
      </c>
      <c r="B287" s="196" t="s">
        <v>140</v>
      </c>
      <c r="C287" s="175">
        <v>7416.1</v>
      </c>
      <c r="D287" s="60">
        <v>21044</v>
      </c>
      <c r="E287" s="99"/>
      <c r="F287" s="138">
        <v>0</v>
      </c>
      <c r="G287" s="99">
        <v>0</v>
      </c>
      <c r="H287" s="60">
        <v>21044</v>
      </c>
      <c r="I287" s="36">
        <v>0</v>
      </c>
      <c r="J287" s="262">
        <v>0</v>
      </c>
      <c r="K287" s="369">
        <v>21044</v>
      </c>
      <c r="L287" s="331">
        <v>0</v>
      </c>
      <c r="M287" s="370"/>
      <c r="N287" s="269">
        <v>0</v>
      </c>
      <c r="O287" s="262">
        <v>0</v>
      </c>
    </row>
    <row r="288" spans="1:17" x14ac:dyDescent="0.25">
      <c r="A288" s="71">
        <v>32</v>
      </c>
      <c r="B288" s="201" t="s">
        <v>164</v>
      </c>
      <c r="C288" s="181"/>
      <c r="D288" s="67"/>
      <c r="E288" s="100"/>
      <c r="F288" s="54">
        <f>F289+F293</f>
        <v>195000</v>
      </c>
      <c r="G288" s="148">
        <f t="shared" ref="G288" si="173">G289+G293</f>
        <v>3964.66</v>
      </c>
      <c r="H288" s="67">
        <f>H289+H293</f>
        <v>318750</v>
      </c>
      <c r="I288" s="79">
        <f>I289+I293</f>
        <v>490125</v>
      </c>
      <c r="J288" s="270">
        <f>J289+J293</f>
        <v>457500</v>
      </c>
      <c r="K288" s="271">
        <f t="shared" ref="K288:O288" si="174">K289+K293</f>
        <v>318750</v>
      </c>
      <c r="L288" s="334">
        <f t="shared" si="174"/>
        <v>398250</v>
      </c>
      <c r="M288" s="373">
        <f>M289+M293</f>
        <v>420000</v>
      </c>
      <c r="N288" s="265">
        <f t="shared" ref="N288" si="175">N289+N293</f>
        <v>398250</v>
      </c>
      <c r="O288" s="270">
        <f t="shared" si="174"/>
        <v>420000</v>
      </c>
    </row>
    <row r="289" spans="1:15" x14ac:dyDescent="0.25">
      <c r="A289" s="16" t="s">
        <v>33</v>
      </c>
      <c r="B289" s="198" t="s">
        <v>34</v>
      </c>
      <c r="C289" s="143">
        <f>C290+C292</f>
        <v>65337.73</v>
      </c>
      <c r="D289" s="40">
        <f>D290+D292</f>
        <v>150000</v>
      </c>
      <c r="E289" s="98">
        <f t="shared" ref="E289" si="176">E290+E292</f>
        <v>0</v>
      </c>
      <c r="F289" s="27">
        <f t="shared" ref="F289:O289" si="177">SUM(F290:F292)</f>
        <v>146250</v>
      </c>
      <c r="G289" s="83">
        <f t="shared" si="177"/>
        <v>3964.66</v>
      </c>
      <c r="H289" s="40">
        <f t="shared" si="177"/>
        <v>150000</v>
      </c>
      <c r="I289" s="35">
        <f t="shared" si="177"/>
        <v>290625</v>
      </c>
      <c r="J289" s="257">
        <f t="shared" si="177"/>
        <v>318750</v>
      </c>
      <c r="K289" s="371">
        <f t="shared" si="177"/>
        <v>150000</v>
      </c>
      <c r="L289" s="328">
        <f t="shared" si="177"/>
        <v>206250</v>
      </c>
      <c r="M289" s="375">
        <f t="shared" si="177"/>
        <v>206250</v>
      </c>
      <c r="N289" s="256">
        <f t="shared" si="177"/>
        <v>206250</v>
      </c>
      <c r="O289" s="257">
        <f t="shared" si="177"/>
        <v>206250</v>
      </c>
    </row>
    <row r="290" spans="1:15" x14ac:dyDescent="0.25">
      <c r="A290" s="17" t="s">
        <v>35</v>
      </c>
      <c r="B290" s="196" t="s">
        <v>36</v>
      </c>
      <c r="C290" s="175">
        <v>50487.73</v>
      </c>
      <c r="D290" s="60">
        <v>75000</v>
      </c>
      <c r="E290" s="99"/>
      <c r="F290" s="138">
        <v>60000</v>
      </c>
      <c r="G290" s="99">
        <v>0</v>
      </c>
      <c r="H290" s="60">
        <v>75000</v>
      </c>
      <c r="I290" s="36">
        <v>121875</v>
      </c>
      <c r="J290" s="262">
        <v>187500</v>
      </c>
      <c r="K290" s="369">
        <v>75000</v>
      </c>
      <c r="L290" s="331">
        <v>75000</v>
      </c>
      <c r="M290" s="370">
        <v>75000</v>
      </c>
      <c r="N290" s="269">
        <v>75000</v>
      </c>
      <c r="O290" s="262">
        <v>75000</v>
      </c>
    </row>
    <row r="291" spans="1:15" x14ac:dyDescent="0.25">
      <c r="A291" s="17" t="s">
        <v>37</v>
      </c>
      <c r="B291" s="196" t="s">
        <v>38</v>
      </c>
      <c r="C291" s="175"/>
      <c r="D291" s="60"/>
      <c r="E291" s="99"/>
      <c r="F291" s="138">
        <v>56250</v>
      </c>
      <c r="G291" s="99">
        <v>3964.66</v>
      </c>
      <c r="H291" s="60"/>
      <c r="I291" s="36">
        <v>56250</v>
      </c>
      <c r="J291" s="262">
        <v>56250</v>
      </c>
      <c r="K291" s="369"/>
      <c r="L291" s="331">
        <v>56250</v>
      </c>
      <c r="M291" s="370">
        <v>56250</v>
      </c>
      <c r="N291" s="269">
        <v>56250</v>
      </c>
      <c r="O291" s="262">
        <v>56250</v>
      </c>
    </row>
    <row r="292" spans="1:15" x14ac:dyDescent="0.25">
      <c r="A292" s="17" t="s">
        <v>39</v>
      </c>
      <c r="B292" s="196" t="s">
        <v>40</v>
      </c>
      <c r="C292" s="175">
        <v>14850</v>
      </c>
      <c r="D292" s="60">
        <v>75000</v>
      </c>
      <c r="E292" s="99"/>
      <c r="F292" s="138">
        <v>30000</v>
      </c>
      <c r="G292" s="99">
        <v>0</v>
      </c>
      <c r="H292" s="60">
        <v>75000</v>
      </c>
      <c r="I292" s="36">
        <v>112500</v>
      </c>
      <c r="J292" s="262">
        <v>75000</v>
      </c>
      <c r="K292" s="369">
        <v>75000</v>
      </c>
      <c r="L292" s="331">
        <v>75000</v>
      </c>
      <c r="M292" s="370">
        <v>75000</v>
      </c>
      <c r="N292" s="269">
        <v>75000</v>
      </c>
      <c r="O292" s="262">
        <v>75000</v>
      </c>
    </row>
    <row r="293" spans="1:15" x14ac:dyDescent="0.25">
      <c r="A293" s="16" t="s">
        <v>55</v>
      </c>
      <c r="B293" s="196" t="s">
        <v>56</v>
      </c>
      <c r="C293" s="98">
        <f>C297</f>
        <v>22342.5</v>
      </c>
      <c r="D293" s="40">
        <f>SUM(D296:D297)</f>
        <v>168750</v>
      </c>
      <c r="E293" s="98">
        <f>SUM(E295:E297)</f>
        <v>4265.63</v>
      </c>
      <c r="F293" s="27">
        <f>SUM(F294:F297)</f>
        <v>48750</v>
      </c>
      <c r="G293" s="83">
        <f t="shared" ref="G293:N293" si="178">SUM(G295:G297)</f>
        <v>0</v>
      </c>
      <c r="H293" s="40">
        <f t="shared" si="178"/>
        <v>168750</v>
      </c>
      <c r="I293" s="35">
        <f t="shared" si="178"/>
        <v>199500</v>
      </c>
      <c r="J293" s="257">
        <f>SUM(J294:J297)</f>
        <v>138750</v>
      </c>
      <c r="K293" s="371">
        <f t="shared" si="178"/>
        <v>168750</v>
      </c>
      <c r="L293" s="328">
        <f t="shared" si="178"/>
        <v>192000</v>
      </c>
      <c r="M293" s="372">
        <f>SUM(M294:M297)</f>
        <v>213750</v>
      </c>
      <c r="N293" s="256">
        <f t="shared" si="178"/>
        <v>192000</v>
      </c>
      <c r="O293" s="257">
        <f>SUM(O294:O297)</f>
        <v>213750</v>
      </c>
    </row>
    <row r="294" spans="1:15" x14ac:dyDescent="0.25">
      <c r="A294" s="16" t="s">
        <v>57</v>
      </c>
      <c r="B294" s="196" t="s">
        <v>58</v>
      </c>
      <c r="C294" s="98"/>
      <c r="D294" s="40"/>
      <c r="E294" s="98"/>
      <c r="F294" s="108">
        <v>3750</v>
      </c>
      <c r="G294" s="101">
        <v>0</v>
      </c>
      <c r="H294" s="69"/>
      <c r="I294" s="108"/>
      <c r="J294" s="322">
        <v>3750</v>
      </c>
      <c r="K294" s="323"/>
      <c r="L294" s="325"/>
      <c r="M294" s="396">
        <v>3750</v>
      </c>
      <c r="N294" s="353"/>
      <c r="O294" s="322">
        <v>3750</v>
      </c>
    </row>
    <row r="295" spans="1:15" x14ac:dyDescent="0.25">
      <c r="A295" s="16" t="s">
        <v>61</v>
      </c>
      <c r="B295" s="196" t="s">
        <v>62</v>
      </c>
      <c r="C295" s="101"/>
      <c r="D295" s="69"/>
      <c r="E295" s="101">
        <v>4265.63</v>
      </c>
      <c r="F295" s="151">
        <v>22500</v>
      </c>
      <c r="G295" s="101">
        <v>0</v>
      </c>
      <c r="H295" s="69"/>
      <c r="I295" s="108">
        <v>4500</v>
      </c>
      <c r="J295" s="322">
        <v>22500</v>
      </c>
      <c r="K295" s="323"/>
      <c r="L295" s="325">
        <v>4500</v>
      </c>
      <c r="M295" s="376">
        <v>22500</v>
      </c>
      <c r="N295" s="353">
        <v>4500</v>
      </c>
      <c r="O295" s="322">
        <v>22500</v>
      </c>
    </row>
    <row r="296" spans="1:15" x14ac:dyDescent="0.25">
      <c r="A296" s="16" t="s">
        <v>65</v>
      </c>
      <c r="B296" s="196" t="s">
        <v>66</v>
      </c>
      <c r="C296" s="101"/>
      <c r="D296" s="60">
        <v>75000</v>
      </c>
      <c r="E296" s="99"/>
      <c r="F296" s="138">
        <v>7500</v>
      </c>
      <c r="G296" s="99">
        <v>0</v>
      </c>
      <c r="H296" s="60">
        <v>75000</v>
      </c>
      <c r="I296" s="36">
        <v>75000</v>
      </c>
      <c r="J296" s="262">
        <v>75000</v>
      </c>
      <c r="K296" s="369">
        <v>75000</v>
      </c>
      <c r="L296" s="331">
        <v>75000</v>
      </c>
      <c r="M296" s="370">
        <v>75000</v>
      </c>
      <c r="N296" s="269">
        <v>75000</v>
      </c>
      <c r="O296" s="262">
        <v>75000</v>
      </c>
    </row>
    <row r="297" spans="1:15" x14ac:dyDescent="0.25">
      <c r="A297" s="16" t="s">
        <v>69</v>
      </c>
      <c r="B297" s="196" t="s">
        <v>70</v>
      </c>
      <c r="C297" s="175">
        <v>22342.5</v>
      </c>
      <c r="D297" s="60">
        <v>93750</v>
      </c>
      <c r="E297" s="99"/>
      <c r="F297" s="138">
        <v>15000</v>
      </c>
      <c r="G297" s="99">
        <v>0</v>
      </c>
      <c r="H297" s="60">
        <v>93750</v>
      </c>
      <c r="I297" s="36">
        <v>120000</v>
      </c>
      <c r="J297" s="262">
        <v>37500</v>
      </c>
      <c r="K297" s="369">
        <v>93750</v>
      </c>
      <c r="L297" s="331">
        <v>112500</v>
      </c>
      <c r="M297" s="370">
        <v>112500</v>
      </c>
      <c r="N297" s="269">
        <v>112500</v>
      </c>
      <c r="O297" s="262">
        <v>112500</v>
      </c>
    </row>
    <row r="298" spans="1:15" x14ac:dyDescent="0.25">
      <c r="A298" s="72" t="s">
        <v>157</v>
      </c>
      <c r="B298" s="189" t="s">
        <v>167</v>
      </c>
      <c r="C298" s="130"/>
      <c r="D298" s="67"/>
      <c r="E298" s="100"/>
      <c r="F298" s="54">
        <f t="shared" ref="F298:G298" si="179">F299</f>
        <v>22500</v>
      </c>
      <c r="G298" s="148">
        <f t="shared" si="179"/>
        <v>0</v>
      </c>
      <c r="H298" s="67">
        <f>H299</f>
        <v>5625</v>
      </c>
      <c r="I298" s="79">
        <f>I299</f>
        <v>5625</v>
      </c>
      <c r="J298" s="270">
        <f>J299</f>
        <v>15000</v>
      </c>
      <c r="K298" s="271">
        <f t="shared" ref="K298:O298" si="180">K299</f>
        <v>5625</v>
      </c>
      <c r="L298" s="334">
        <f t="shared" si="180"/>
        <v>5625</v>
      </c>
      <c r="M298" s="397">
        <f>M299</f>
        <v>15000</v>
      </c>
      <c r="N298" s="265">
        <f t="shared" si="180"/>
        <v>5625</v>
      </c>
      <c r="O298" s="270">
        <f t="shared" si="180"/>
        <v>15000</v>
      </c>
    </row>
    <row r="299" spans="1:15" x14ac:dyDescent="0.25">
      <c r="A299" s="16" t="s">
        <v>103</v>
      </c>
      <c r="B299" s="196" t="s">
        <v>104</v>
      </c>
      <c r="C299" s="98">
        <f>C300</f>
        <v>0</v>
      </c>
      <c r="D299" s="40">
        <f t="shared" ref="D299:O299" si="181">D300</f>
        <v>5625</v>
      </c>
      <c r="E299" s="98">
        <f t="shared" si="181"/>
        <v>0</v>
      </c>
      <c r="F299" s="27">
        <f t="shared" ref="F299:G299" si="182">SUM(F300)</f>
        <v>22500</v>
      </c>
      <c r="G299" s="83">
        <f t="shared" si="182"/>
        <v>0</v>
      </c>
      <c r="H299" s="40">
        <f>SUM(H300)</f>
        <v>5625</v>
      </c>
      <c r="I299" s="35">
        <f>I300</f>
        <v>5625</v>
      </c>
      <c r="J299" s="257">
        <f>J300</f>
        <v>15000</v>
      </c>
      <c r="K299" s="371">
        <f t="shared" si="181"/>
        <v>5625</v>
      </c>
      <c r="L299" s="328">
        <f t="shared" si="181"/>
        <v>5625</v>
      </c>
      <c r="M299" s="372">
        <f>SUM(M300)</f>
        <v>15000</v>
      </c>
      <c r="N299" s="256">
        <f t="shared" si="181"/>
        <v>5625</v>
      </c>
      <c r="O299" s="257">
        <f t="shared" si="181"/>
        <v>15000</v>
      </c>
    </row>
    <row r="300" spans="1:15" ht="15.75" thickBot="1" x14ac:dyDescent="0.3">
      <c r="A300" s="43" t="s">
        <v>105</v>
      </c>
      <c r="B300" s="202" t="s">
        <v>106</v>
      </c>
      <c r="C300" s="176">
        <v>0</v>
      </c>
      <c r="D300" s="62">
        <v>5625</v>
      </c>
      <c r="E300" s="128"/>
      <c r="F300" s="133">
        <v>22500</v>
      </c>
      <c r="G300" s="128">
        <v>0</v>
      </c>
      <c r="H300" s="62">
        <v>5625</v>
      </c>
      <c r="I300" s="59">
        <v>5625</v>
      </c>
      <c r="J300" s="282">
        <v>15000</v>
      </c>
      <c r="K300" s="393">
        <v>5625</v>
      </c>
      <c r="L300" s="394">
        <v>5625</v>
      </c>
      <c r="M300" s="395">
        <v>15000</v>
      </c>
      <c r="N300" s="281">
        <v>5625</v>
      </c>
      <c r="O300" s="282">
        <v>15000</v>
      </c>
    </row>
  </sheetData>
  <mergeCells count="5">
    <mergeCell ref="F3:G3"/>
    <mergeCell ref="H3:J3"/>
    <mergeCell ref="K3:M3"/>
    <mergeCell ref="N3:O3"/>
    <mergeCell ref="A2:O2"/>
  </mergeCells>
  <pageMargins left="0.70866141732283472" right="0.70866141732283472" top="0.74803149606299213" bottom="0.74803149606299213" header="0.31496062992125984" footer="0.31496062992125984"/>
  <pageSetup paperSize="8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bez CROLIS</vt:lpstr>
      <vt:lpstr>Sheet1</vt:lpstr>
      <vt:lpstr>'bez CROLIS'!Print_Titles</vt:lpstr>
      <vt:lpstr>Sheet1!Print_Titles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Ivašković</dc:creator>
  <cp:lastModifiedBy>Gordana Ivašković</cp:lastModifiedBy>
  <cp:lastPrinted>2021-09-27T09:18:47Z</cp:lastPrinted>
  <dcterms:created xsi:type="dcterms:W3CDTF">2019-01-11T09:42:47Z</dcterms:created>
  <dcterms:modified xsi:type="dcterms:W3CDTF">2021-12-27T08:39:19Z</dcterms:modified>
</cp:coreProperties>
</file>